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Override PartName="/xl/threadedComments/threadedComment2.xml" ContentType="application/vnd.ms-excel.threadedcomments+xml"/>
  <Override PartName="/xl/threadedComments/threadedComment3.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mc:AlternateContent xmlns:mc="http://schemas.openxmlformats.org/markup-compatibility/2006">
    <mc:Choice Requires="x15">
      <x15ac:absPath xmlns:x15ac="http://schemas.microsoft.com/office/spreadsheetml/2010/11/ac" url="C:\Truth Stuff\"/>
    </mc:Choice>
  </mc:AlternateContent>
  <xr:revisionPtr revIDLastSave="0" documentId="13_ncr:1_{F96CCB14-860C-4277-ABA7-249C3B6135B2}" xr6:coauthVersionLast="47" xr6:coauthVersionMax="47" xr10:uidLastSave="{00000000-0000-0000-0000-000000000000}"/>
  <bookViews>
    <workbookView xWindow="21840" yWindow="-249" windowWidth="22149" windowHeight="11949" tabRatio="599" firstSheet="11" activeTab="17" xr2:uid="{3E1EF867-EC43-4906-8911-8719E0AC8427}"/>
  </bookViews>
  <sheets>
    <sheet name="Vision Radius" sheetId="12" r:id="rId1"/>
    <sheet name="Focal Length" sheetId="3" r:id="rId2"/>
    <sheet name="Combined" sheetId="10" r:id="rId3"/>
    <sheet name="Diffraction Limit" sheetId="2" r:id="rId4"/>
    <sheet name="lat Long Haversine" sheetId="18" r:id="rId5"/>
    <sheet name="Horizon Distance" sheetId="8" r:id="rId6"/>
    <sheet name="AE Navigation (2)" sheetId="13" r:id="rId7"/>
    <sheet name="Sheet3" sheetId="15" r:id="rId8"/>
    <sheet name="Sheet4" sheetId="16" r:id="rId9"/>
    <sheet name="Sheet2" sheetId="14" r:id="rId10"/>
    <sheet name="Sheet5" sheetId="17" r:id="rId11"/>
    <sheet name="Spherical Excess" sheetId="7" r:id="rId12"/>
    <sheet name="Implied Radius" sheetId="9" r:id="rId13"/>
    <sheet name="Gravity" sheetId="11" r:id="rId14"/>
    <sheet name="Elevation" sheetId="6" r:id="rId15"/>
    <sheet name="GEO" sheetId="5" r:id="rId16"/>
    <sheet name="AE Navigation" sheetId="4" r:id="rId17"/>
    <sheet name="Curve Calc" sheetId="1" r:id="rId18"/>
  </sheets>
  <externalReferences>
    <externalReference r:id="rId19"/>
    <externalReference r:id="rId20"/>
    <externalReference r:id="rId21"/>
  </externalReferences>
  <definedNames>
    <definedName name="_xlnm._FilterDatabase" localSheetId="10" hidden="1">Sheet5!$B$1:$I$62</definedName>
    <definedName name="Altitude">[1]Sheet1!$M$2</definedName>
    <definedName name="ApparentHeight" localSheetId="4">'[2]Theodolite Measurements'!$B$9</definedName>
    <definedName name="ApparentHeight">'[3]Theodolite Measurements'!$B$9</definedName>
    <definedName name="BackDistance" localSheetId="4">[2]Elevation!$L$3</definedName>
    <definedName name="BackDistance">[3]Elevation!$L$3</definedName>
    <definedName name="BackHeight" localSheetId="4">[2]Elevation!$L$2</definedName>
    <definedName name="BackHeight">[3]Elevation!$L$2</definedName>
    <definedName name="BackX" localSheetId="4">[2]Elevation!$L$20</definedName>
    <definedName name="BackX">[3]Elevation!$L$20</definedName>
    <definedName name="BackY" localSheetId="4">[2]Elevation!$L$21</definedName>
    <definedName name="BackY">[3]Elevation!$L$21</definedName>
    <definedName name="BenchMark" localSheetId="4">'[2]Theodolite Measurements'!$B$10</definedName>
    <definedName name="BenchMark">'[3]Theodolite Measurements'!$B$10</definedName>
    <definedName name="Distance" localSheetId="4">'[2]Theodolite Measurements'!$B$1</definedName>
    <definedName name="Distance">'[3]Theodolite Measurements'!$B$1</definedName>
    <definedName name="EffRadius" localSheetId="4">[2]Elevation!$C$5</definedName>
    <definedName name="EffRadius">[3]Elevation!$C$5</definedName>
    <definedName name="ForeDistance" localSheetId="4">[2]Elevation!$I$3</definedName>
    <definedName name="ForeDistance">[3]Elevation!$I$3</definedName>
    <definedName name="ForeHeight" localSheetId="4">[2]Elevation!$I$2</definedName>
    <definedName name="ForeHeight">[3]Elevation!$I$2</definedName>
    <definedName name="ForeX" localSheetId="4">[2]Elevation!$I$20</definedName>
    <definedName name="ForeX">[3]Elevation!$I$20</definedName>
    <definedName name="ForeY" localSheetId="4">[2]Elevation!$I$21</definedName>
    <definedName name="ForeY">[3]Elevation!$I$21</definedName>
    <definedName name="GeoDrop" localSheetId="4">'[2]Theodolite Measurements'!$B$3</definedName>
    <definedName name="GeoDrop">'[3]Theodolite Measurements'!$B$3</definedName>
    <definedName name="KFactor" localSheetId="4">[2]Elevation!$C$3</definedName>
    <definedName name="KFactor">[3]Elevation!$C$3</definedName>
    <definedName name="ObserverHeight" localSheetId="4">[2]Elevation!$F$2</definedName>
    <definedName name="ObserverHeight">[3]Elevation!$F$2</definedName>
    <definedName name="ObserverLat" localSheetId="4">'[2]Reverse Engineer'!$I$1</definedName>
    <definedName name="ObserverLat">'[3]Reverse Engineer'!$I$1</definedName>
    <definedName name="ObserverLong" localSheetId="4">'[2]Reverse Engineer'!$I$2</definedName>
    <definedName name="ObserverLong">'[3]Reverse Engineer'!$I$2</definedName>
    <definedName name="ObsX">Elevation!$F$4</definedName>
    <definedName name="ObsY" localSheetId="4">[2]Elevation!$F$5</definedName>
    <definedName name="ObsY">[3]Elevation!$F$5</definedName>
    <definedName name="_xlnm.Print_Area" localSheetId="0">'Vision Radius'!$A$1:$I$51</definedName>
    <definedName name="Radius" localSheetId="4">[2]Elevation!$C$2</definedName>
    <definedName name="Radius">[3]Elevation!$C$2</definedName>
    <definedName name="RadiusMultiplier" localSheetId="4">'[2]Theodolite Measurements'!$B$5</definedName>
    <definedName name="RadiusMultiplier">'[3]Theodolite Measurements'!$B$5</definedName>
    <definedName name="RefrDrop" localSheetId="4">'[2]Theodolite Measurements'!$B$7</definedName>
    <definedName name="RefrDrop">'[3]Theodolite Measurements'!$B$7</definedName>
    <definedName name="TowerHeight" localSheetId="4">'[2]Theodolite Measurements'!$B$2</definedName>
    <definedName name="TowerHeight">'[3]Theodolite Measurements'!$B$2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9" i="13" l="1"/>
  <c r="D8" i="13"/>
  <c r="C25" i="13"/>
  <c r="D25" i="13"/>
  <c r="G30" i="13"/>
  <c r="J30" i="13" s="1"/>
  <c r="D9" i="18"/>
  <c r="D8" i="18"/>
  <c r="G33" i="13"/>
  <c r="J34" i="13" s="1"/>
  <c r="F8" i="5" a="1"/>
  <c r="F8" i="5" s="1"/>
  <c r="J31" i="13" l="1"/>
  <c r="D41" i="13" s="1"/>
  <c r="D42" i="13" s="1"/>
  <c r="J33" i="13"/>
  <c r="M30" i="13" s="1"/>
  <c r="G3" i="8"/>
  <c r="G51" i="10"/>
  <c r="G53" i="10" s="1"/>
  <c r="G54" i="10" s="1"/>
  <c r="D47" i="10"/>
  <c r="G44" i="10"/>
  <c r="G45" i="10" s="1"/>
  <c r="E3" i="10"/>
  <c r="F37" i="10"/>
  <c r="L29" i="10"/>
  <c r="E2" i="10"/>
  <c r="E5" i="10"/>
  <c r="J33" i="10"/>
  <c r="J35" i="10" s="1"/>
  <c r="J37" i="10" s="1"/>
  <c r="L37" i="10" s="1"/>
  <c r="D32" i="10"/>
  <c r="D33" i="10" s="1"/>
  <c r="B4" i="12"/>
  <c r="B9" i="12" s="1"/>
  <c r="B11" i="12" s="1"/>
  <c r="G32" i="12"/>
  <c r="A28" i="12"/>
  <c r="B13" i="12"/>
  <c r="G10" i="12"/>
  <c r="B10" i="12"/>
  <c r="G9" i="12"/>
  <c r="G16" i="12" s="1"/>
  <c r="G19" i="12" s="1"/>
  <c r="G21" i="12" s="1"/>
  <c r="D43" i="13" l="1"/>
  <c r="G41" i="13" s="1"/>
  <c r="G48" i="10"/>
  <c r="G47" i="10"/>
  <c r="L35" i="10"/>
  <c r="N29" i="10"/>
  <c r="D39" i="10"/>
  <c r="D34" i="10"/>
  <c r="D35" i="10" s="1"/>
  <c r="B12" i="12"/>
  <c r="B16" i="12"/>
  <c r="B19" i="12" s="1"/>
  <c r="B21" i="12" s="1"/>
  <c r="D44" i="13" l="1"/>
  <c r="D46" i="13" s="1"/>
  <c r="G42" i="13"/>
  <c r="J42" i="13" s="1"/>
  <c r="D40" i="10"/>
  <c r="F39" i="10"/>
  <c r="N31" i="10"/>
  <c r="P29" i="10"/>
  <c r="N33" i="10"/>
  <c r="N37" i="10" s="1"/>
  <c r="P37" i="10" s="1"/>
  <c r="C8" i="11"/>
  <c r="C2" i="11"/>
  <c r="C10" i="11" s="1"/>
  <c r="G15" i="10"/>
  <c r="I15" i="10" s="1"/>
  <c r="G12" i="10"/>
  <c r="G11" i="10"/>
  <c r="G14" i="10" s="1"/>
  <c r="I14" i="10" s="1"/>
  <c r="C6" i="10"/>
  <c r="C7" i="10" s="1"/>
  <c r="E7" i="10" s="1"/>
  <c r="C8" i="9"/>
  <c r="C9" i="9" s="1"/>
  <c r="C11" i="9" s="1"/>
  <c r="C7" i="8"/>
  <c r="C9" i="8" s="1"/>
  <c r="C11" i="8" s="1"/>
  <c r="G5" i="8"/>
  <c r="F9" i="7"/>
  <c r="F10" i="7" s="1"/>
  <c r="B5" i="7"/>
  <c r="F3" i="7" s="1"/>
  <c r="F4" i="7" s="1"/>
  <c r="F5" i="7" s="1"/>
  <c r="F6" i="7" s="1"/>
  <c r="F7" i="7" s="1"/>
  <c r="L23" i="6"/>
  <c r="L24" i="6" s="1"/>
  <c r="I23" i="6"/>
  <c r="L18" i="6"/>
  <c r="L20" i="6" s="1"/>
  <c r="I18" i="6"/>
  <c r="I21" i="6" s="1"/>
  <c r="L9" i="6"/>
  <c r="L11" i="6" s="1"/>
  <c r="I9" i="6"/>
  <c r="I11" i="6" s="1"/>
  <c r="I12" i="6" s="1"/>
  <c r="F5" i="6"/>
  <c r="C5" i="6"/>
  <c r="C3" i="6"/>
  <c r="F10" i="5" a="1"/>
  <c r="F10" i="5" s="1"/>
  <c r="F9" i="5" a="1"/>
  <c r="F9" i="5" s="1"/>
  <c r="C13" i="5"/>
  <c r="G8" i="4"/>
  <c r="J9" i="4" s="1"/>
  <c r="G5" i="4"/>
  <c r="J6" i="4" s="1"/>
  <c r="F9" i="3"/>
  <c r="F11" i="3" s="1"/>
  <c r="F12" i="3" s="1"/>
  <c r="C5" i="3"/>
  <c r="F5" i="3" s="1"/>
  <c r="F2" i="3"/>
  <c r="F3" i="3" s="1"/>
  <c r="F6" i="3" s="1"/>
  <c r="C8" i="2"/>
  <c r="C9" i="2" s="1"/>
  <c r="G15" i="1"/>
  <c r="G12" i="1"/>
  <c r="G16" i="1" s="1"/>
  <c r="G11" i="1"/>
  <c r="G14" i="1" s="1"/>
  <c r="C6" i="1"/>
  <c r="C7" i="1" s="1"/>
  <c r="J41" i="13" l="1"/>
  <c r="G16" i="10"/>
  <c r="I16" i="10" s="1"/>
  <c r="C15" i="10"/>
  <c r="E15" i="10" s="1"/>
  <c r="C12" i="10"/>
  <c r="C11" i="10"/>
  <c r="G17" i="10"/>
  <c r="K25" i="6"/>
  <c r="G7" i="8"/>
  <c r="G11" i="8" s="1"/>
  <c r="N11" i="6"/>
  <c r="L12" i="6"/>
  <c r="L21" i="6"/>
  <c r="H13" i="6"/>
  <c r="K13" i="6"/>
  <c r="N23" i="6"/>
  <c r="I24" i="6"/>
  <c r="I20" i="6"/>
  <c r="H25" i="6"/>
  <c r="F14" i="5" a="1"/>
  <c r="F14" i="5" s="1"/>
  <c r="E14" i="5" a="1"/>
  <c r="E14" i="5" s="1"/>
  <c r="J5" i="4"/>
  <c r="J8" i="4"/>
  <c r="C15" i="2"/>
  <c r="C16" i="2" s="1"/>
  <c r="C10" i="2"/>
  <c r="C11" i="2" s="1"/>
  <c r="C12" i="1"/>
  <c r="C16" i="1"/>
  <c r="K16" i="1" s="1"/>
  <c r="K17" i="1" s="1"/>
  <c r="C11" i="1"/>
  <c r="C15" i="1"/>
  <c r="G17" i="1"/>
  <c r="C14" i="10" l="1"/>
  <c r="E14" i="10" s="1"/>
  <c r="C17" i="10"/>
  <c r="C16" i="10"/>
  <c r="M5" i="4"/>
  <c r="D18" i="4"/>
  <c r="D16" i="4"/>
  <c r="D17" i="4" s="1"/>
  <c r="C14" i="1"/>
  <c r="C17" i="1"/>
  <c r="K16" i="10" l="1"/>
  <c r="E16" i="10"/>
  <c r="D19" i="4"/>
  <c r="D21" i="4" s="1"/>
  <c r="G17" i="4"/>
  <c r="G16" i="4"/>
  <c r="K17" i="10" l="1"/>
  <c r="M16" i="10"/>
  <c r="J17" i="4"/>
  <c r="J1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tc={9645D16D-BB7B-499E-8E5A-1E71CF2DE398}</author>
    <author>tc={84DE3F36-5B68-438C-8D50-E5A4C577F5F3}</author>
  </authors>
  <commentList>
    <comment ref="C16" authorId="0" shapeId="0" xr:uid="{9645D16D-BB7B-499E-8E5A-1E71CF2DE398}">
      <text>
        <r>
          <rPr>
            <sz val="11"/>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This is a wrong calculation if the distance is less than the horizon.</t>
        </r>
      </text>
    </comment>
    <comment ref="G16" authorId="1" shapeId="0" xr:uid="{84DE3F36-5B68-438C-8D50-E5A4C577F5F3}">
      <text>
        <r>
          <rPr>
            <sz val="11"/>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This is a wrong calculation if the distance is less than the horizon.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tc={A8F7E276-87D6-410D-8738-C604E52B0C40}</author>
  </authors>
  <commentList>
    <comment ref="C27" authorId="0" shapeId="0" xr:uid="{20442882-0CEC-4F53-83FC-A86090595ABC}">
      <text>
        <r>
          <rPr>
            <sz val="11"/>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Sydney to Tahiti is 3,307.66 NM on the globe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tc={A8F7E276-87D6-410D-8738-C604E52B0C40}</author>
  </authors>
  <commentList>
    <comment ref="C2" authorId="0" shapeId="0" xr:uid="{A8F7E276-87D6-410D-8738-C604E52B0C40}">
      <text>
        <r>
          <rPr>
            <sz val="11"/>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Sydney to Tahiti is 3,307.66 NM on the globe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tc={ECA2C4F0-EB27-42A3-A34F-6CD30987E712}</author>
    <author>tc={27B5CFE2-4B84-48E0-B2B3-9ED59666CCE1}</author>
  </authors>
  <commentList>
    <comment ref="C16" authorId="0" shapeId="0" xr:uid="{ECA2C4F0-EB27-42A3-A34F-6CD30987E712}">
      <text>
        <r>
          <rPr>
            <sz val="11"/>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This is a wrong calculation if the distance is less than the horizon.</t>
        </r>
      </text>
    </comment>
    <comment ref="G16" authorId="1" shapeId="0" xr:uid="{27B5CFE2-4B84-48E0-B2B3-9ED59666CCE1}">
      <text>
        <r>
          <rPr>
            <sz val="11"/>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This is a wrong calculation if the distance is less than the horizon.</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<sst xmlns="http://schemas.openxmlformats.org/spreadsheetml/2006/main" count="1759" uniqueCount="1160">
  <si>
    <t>Distance</t>
  </si>
  <si>
    <t>km</t>
  </si>
  <si>
    <t>Viewer Height</t>
  </si>
  <si>
    <t>m</t>
  </si>
  <si>
    <t>Earth Radius</t>
  </si>
  <si>
    <t>k Factor</t>
  </si>
  <si>
    <t>Effective Radius</t>
  </si>
  <si>
    <t>Refracted</t>
  </si>
  <si>
    <t>Geometric</t>
  </si>
  <si>
    <t>Horizon Rotation</t>
  </si>
  <si>
    <t>radians</t>
  </si>
  <si>
    <t>Target Rotation</t>
  </si>
  <si>
    <t>Distance to Horizon</t>
  </si>
  <si>
    <t>Drop</t>
  </si>
  <si>
    <t>Hidden</t>
  </si>
  <si>
    <t>Difference</t>
  </si>
  <si>
    <t>Horizon Dip</t>
  </si>
  <si>
    <t>°</t>
  </si>
  <si>
    <t>Looming</t>
  </si>
  <si>
    <r>
      <t>sin(</t>
    </r>
    <r>
      <rPr>
        <b/>
        <sz val="11"/>
        <color theme="1"/>
        <rFont val="Calibri"/>
        <family val="2"/>
      </rPr>
      <t xml:space="preserve">ϴ) = 1.22 × λ ÷ </t>
    </r>
    <r>
      <rPr>
        <b/>
        <sz val="11"/>
        <color theme="1"/>
        <rFont val="Aptos Narrow"/>
        <family val="2"/>
        <scheme val="minor"/>
      </rPr>
      <t>D</t>
    </r>
  </si>
  <si>
    <t>Wavelength</t>
  </si>
  <si>
    <t>(nm)</t>
  </si>
  <si>
    <t>Diameter</t>
  </si>
  <si>
    <t>(mm)</t>
  </si>
  <si>
    <t>sin(ϴ) =</t>
  </si>
  <si>
    <t>ϴ =</t>
  </si>
  <si>
    <t>(radians)</t>
  </si>
  <si>
    <t>Angle =</t>
  </si>
  <si>
    <t>(degrees)</t>
  </si>
  <si>
    <t>ArcSeconds =</t>
  </si>
  <si>
    <t>(")</t>
  </si>
  <si>
    <t>(m)</t>
  </si>
  <si>
    <t>Size</t>
  </si>
  <si>
    <t>Focal Length</t>
  </si>
  <si>
    <t>35mm diagonal</t>
  </si>
  <si>
    <t>=SQRT(POWER(36, 2) + POWER(24, 2))</t>
  </si>
  <si>
    <t>Diagonal FOV</t>
  </si>
  <si>
    <t>=2 * DEGREES(ATAN(35mmDiag / 2 / FocalLength))</t>
  </si>
  <si>
    <t>Aspect Ratio</t>
  </si>
  <si>
    <t>X FOV</t>
  </si>
  <si>
    <t>=AspectRatio * SQRT(POWER(DiagFOV, 2) / (POWER(AspectRatio, 2) + 1))</t>
  </si>
  <si>
    <t>Y FOV</t>
  </si>
  <si>
    <t>=SQRT(POWER(DiagFOV, 2) / (POWER(AspectRatio, 2) + 1))</t>
  </si>
  <si>
    <t>F-stop</t>
  </si>
  <si>
    <t>Theta (radians)</t>
  </si>
  <si>
    <t>Theta (degrees)</t>
  </si>
  <si>
    <t>Angular Size</t>
  </si>
  <si>
    <t>NM / Degree</t>
  </si>
  <si>
    <t>Sector</t>
  </si>
  <si>
    <t>Origin</t>
  </si>
  <si>
    <t>Lat</t>
  </si>
  <si>
    <t>Magnitude</t>
  </si>
  <si>
    <t>X</t>
  </si>
  <si>
    <t>NM</t>
  </si>
  <si>
    <t>Long</t>
  </si>
  <si>
    <t>Y</t>
  </si>
  <si>
    <t>Destination</t>
  </si>
  <si>
    <t>Waypoints</t>
  </si>
  <si>
    <t>North</t>
  </si>
  <si>
    <t>Gradient</t>
  </si>
  <si>
    <t>New X</t>
  </si>
  <si>
    <t>New Lat</t>
  </si>
  <si>
    <t>Angle</t>
  </si>
  <si>
    <t>New Y</t>
  </si>
  <si>
    <t>New Long</t>
  </si>
  <si>
    <t>Flight</t>
  </si>
  <si>
    <t>Initial</t>
  </si>
  <si>
    <t>Heading</t>
  </si>
  <si>
    <t>Name</t>
  </si>
  <si>
    <t>Latitude</t>
  </si>
  <si>
    <t>Longitude</t>
  </si>
  <si>
    <t>Kevin Jackson</t>
  </si>
  <si>
    <t>Stephen Cheatley</t>
  </si>
  <si>
    <t>Exploring the Plane (IOM)</t>
  </si>
  <si>
    <t>Marko B</t>
  </si>
  <si>
    <t>P900 Coolpics</t>
  </si>
  <si>
    <t>Big One - LEFT</t>
  </si>
  <si>
    <t>Big One - RIGHT</t>
  </si>
  <si>
    <t>JT Radio Tower</t>
  </si>
  <si>
    <t>miles</t>
  </si>
  <si>
    <t>JT LEFT Camera</t>
  </si>
  <si>
    <t>JT RIGHT Camera</t>
  </si>
  <si>
    <t>Radius (km)</t>
  </si>
  <si>
    <t>Observer (m)</t>
  </si>
  <si>
    <t>Fore Height (m)</t>
  </si>
  <si>
    <t>Back Height (m)</t>
  </si>
  <si>
    <t>k-Factor</t>
  </si>
  <si>
    <t>Distance (m)</t>
  </si>
  <si>
    <t>Obs. X</t>
  </si>
  <si>
    <t>Eff. Radius (m)</t>
  </si>
  <si>
    <t>Obs. Y</t>
  </si>
  <si>
    <t>FLAT</t>
  </si>
  <si>
    <t>Delta Height</t>
  </si>
  <si>
    <t>Elevation (deg)</t>
  </si>
  <si>
    <t>Elevation (mrad)</t>
  </si>
  <si>
    <t>GLOBE</t>
  </si>
  <si>
    <t>Rotation Angle (d)</t>
  </si>
  <si>
    <t>Fore. X</t>
  </si>
  <si>
    <t>Back. X</t>
  </si>
  <si>
    <t>Fore. Y</t>
  </si>
  <si>
    <t>Back. Y</t>
  </si>
  <si>
    <t>Side 1</t>
  </si>
  <si>
    <t>Side 2</t>
  </si>
  <si>
    <t>Side 3</t>
  </si>
  <si>
    <t>tan (E / 4) =</t>
  </si>
  <si>
    <t>E / 4 =</t>
  </si>
  <si>
    <t>Semiperimeter</t>
  </si>
  <si>
    <t xml:space="preserve">E = </t>
  </si>
  <si>
    <t>E =</t>
  </si>
  <si>
    <t>degrees</t>
  </si>
  <si>
    <t>Radius</t>
  </si>
  <si>
    <t>arc seconds</t>
  </si>
  <si>
    <t>3rd Angle</t>
  </si>
  <si>
    <t>Area</t>
  </si>
  <si>
    <t>sq. km</t>
  </si>
  <si>
    <t>Effective Earth Radius</t>
  </si>
  <si>
    <t>Circle Geometry</t>
  </si>
  <si>
    <t>Light Radius</t>
  </si>
  <si>
    <t>Observer</t>
  </si>
  <si>
    <t>Y Intersect</t>
  </si>
  <si>
    <t>Multiplier</t>
  </si>
  <si>
    <t>X Intersect</t>
  </si>
  <si>
    <t>dn/dh</t>
  </si>
  <si>
    <t>n/km</t>
  </si>
  <si>
    <t>Elevation</t>
  </si>
  <si>
    <t>=RADIANS(C6)</t>
  </si>
  <si>
    <t>=-((C4 / 1000) * COS(C8)) / (COS(C8) - 1)</t>
  </si>
  <si>
    <t>Actual Radius</t>
  </si>
  <si>
    <t>=1 / (1 / C9 + C2)</t>
  </si>
  <si>
    <t>Big G</t>
  </si>
  <si>
    <t>Density</t>
  </si>
  <si>
    <t>kg/m^3</t>
  </si>
  <si>
    <t>Mass</t>
  </si>
  <si>
    <t>kg</t>
  </si>
  <si>
    <t>Acceleration</t>
  </si>
  <si>
    <t>Deriving the Globe Radius from the Diffraction Limit of Vision</t>
  </si>
  <si>
    <t>Deriving the Diffraction Limit of Vision from the Globe Radius</t>
  </si>
  <si>
    <t>Diffraction = 1.22 x wavelength/diameter</t>
  </si>
  <si>
    <t>Notes</t>
  </si>
  <si>
    <t>Curvature Horizon Distance = ( √(2R)) x (√h)</t>
  </si>
  <si>
    <t>Coefficient</t>
  </si>
  <si>
    <t>See ref. for derivation</t>
  </si>
  <si>
    <t>Kilometers</t>
  </si>
  <si>
    <t>See ref. for additional info</t>
  </si>
  <si>
    <t>Nanometers</t>
  </si>
  <si>
    <t>Orange-red spectrum</t>
  </si>
  <si>
    <t>Height</t>
  </si>
  <si>
    <t>Meters</t>
  </si>
  <si>
    <t>Eye height of a man</t>
  </si>
  <si>
    <t>Millimeters</t>
  </si>
  <si>
    <t>Strained pupil diameter</t>
  </si>
  <si>
    <t>Conversion to Common Units</t>
  </si>
  <si>
    <t>=B4*10^-9</t>
  </si>
  <si>
    <t>Height(km)</t>
  </si>
  <si>
    <t>=H5/1000</t>
  </si>
  <si>
    <t>=B5*10^-3</t>
  </si>
  <si>
    <t>Radius(mi)</t>
  </si>
  <si>
    <t>Miles</t>
  </si>
  <si>
    <t>=H4*0.6213712</t>
  </si>
  <si>
    <t>Angle(rad)</t>
  </si>
  <si>
    <t>Radians</t>
  </si>
  <si>
    <t>=B3*(B9/B10)</t>
  </si>
  <si>
    <t>Angle(deg)</t>
  </si>
  <si>
    <t>Degrees</t>
  </si>
  <si>
    <t>=B11*180/PI()</t>
  </si>
  <si>
    <t>Height(feet)</t>
  </si>
  <si>
    <t>Feet</t>
  </si>
  <si>
    <t>=C7/0.3048</t>
  </si>
  <si>
    <t>Solve for Distance to Diffraction Limit</t>
  </si>
  <si>
    <t>Solve for Distance to Curvature Horizon</t>
  </si>
  <si>
    <t>=B6/TAN(B11)</t>
  </si>
  <si>
    <t>'=SQRT(2*H3)*SQRT(H9)*1000</t>
  </si>
  <si>
    <t>Conversion to Imperial Units</t>
  </si>
  <si>
    <t>Distance to Diffraction Limit</t>
  </si>
  <si>
    <t>=B15*0.0006213712</t>
  </si>
  <si>
    <t>Distance to Curvature Horizon</t>
  </si>
  <si>
    <t>=H15*0.0006213712</t>
  </si>
  <si>
    <t>^Equals the globe distance to the curvature horizon</t>
  </si>
  <si>
    <t>^Equals the max resolvable distance of an object of specified height</t>
  </si>
  <si>
    <t>Derived Radius of Vision</t>
  </si>
  <si>
    <t>=C20/(2*(C13*(PI()/180)))</t>
  </si>
  <si>
    <t>Derived Angle to Curvature Horizon</t>
  </si>
  <si>
    <t>=H19/H11/2*180/PI()</t>
  </si>
  <si>
    <t>^Equals the radius of the globe</t>
  </si>
  <si>
    <t>^Equals the diffraction limit of vision</t>
  </si>
  <si>
    <t>References</t>
  </si>
  <si>
    <t>https://physics.stackexchange.com/questions/696980/where-does-the-1-22-come-from-in-rayleigh-criterion-for-circular-apertures</t>
  </si>
  <si>
    <t>https://pwg.gsfc.nasa.gov/stargaze/Shorizon.htm</t>
  </si>
  <si>
    <t>The loss of information at our horizon is either optical, or physical (or both).</t>
  </si>
  <si>
    <t>If it's physical, things will simply disappear over the horizon.</t>
  </si>
  <si>
    <t>If it's optical, things will disappear by angular resolution limit of the observer.</t>
  </si>
  <si>
    <t>Shouldn't both be apparent on a globe?</t>
  </si>
  <si>
    <t>We assumed eye height of a man of typical stature (5.9 feet)</t>
  </si>
  <si>
    <t>We assumed a visible wavelength that is not subject to refraction (orange-red)</t>
  </si>
  <si>
    <t>3 Variables</t>
  </si>
  <si>
    <t>Angular Resolution limit</t>
  </si>
  <si>
    <t>Drop rate over X miles</t>
  </si>
  <si>
    <t>Radius of spherical vision</t>
  </si>
  <si>
    <t>sing a realistic human eye Angular Resolution limit of: 0.0217062</t>
  </si>
  <si>
    <t>The Given: The following is how they derived it: Using a realistic human eye Angular Resolution limit of: 0.0217062 Thus making: 2Theta = (0.0217062 x 2) =</t>
  </si>
  <si>
    <t>The Formula: R(radius of earth) = d/(tan(2Theta))   published mean radius of earth: The "globe earth's" officially stated radius is 6371km or 3958.8mile</t>
  </si>
  <si>
    <t>0.0434124 d = Distance to Horizon = 2.999547 miles The Math: R = 2.999547/(tan(0.0434124)) R = 3958.8078674061 miles Compare to the officially</t>
  </si>
  <si>
    <t>The distance to the horizon viewed by 6 foot tall person(P1) would be at 2.999547 miles - meaning that if another 6 foot tall person(P2) was 2.999547 miles in the distance, the top of P2's head would be just barely hidden behind the horizon from the viewpoint of P1. The reality is that there is no curvature hiding P2; it's only that at 2.999547 miles that P1's Angular Resolution limit has been reached concerning an object the size of another 6 foot tall person</t>
  </si>
  <si>
    <t>R(radius of earth) = d/(tan(2Theta)</t>
  </si>
  <si>
    <t>Horizon Distance</t>
  </si>
  <si>
    <t>Diffraction Limit</t>
  </si>
  <si>
    <t>Curve Calc</t>
  </si>
  <si>
    <t>ength (m)</t>
  </si>
  <si>
    <t>Country used</t>
  </si>
  <si>
    <t>From</t>
  </si>
  <si>
    <t>To</t>
  </si>
  <si>
    <t>Definition</t>
  </si>
  <si>
    <t>Remarks</t>
  </si>
  <si>
    <t>lǐ</t>
  </si>
  <si>
    <t>mainland China</t>
  </si>
  <si>
    <t>today</t>
  </si>
  <si>
    <t>1,500 chi</t>
  </si>
  <si>
    <t>In Chinese, this unit and the imperial mile are written using the same word (里), with a qualifier to distinguish between systems if needed</t>
  </si>
  <si>
    <t>960–1,152</t>
  </si>
  <si>
    <t>Talmudic mil</t>
  </si>
  <si>
    <t>Land of Israel/Canaan</t>
  </si>
  <si>
    <r>
      <t>2,000 amot (</t>
    </r>
    <r>
      <rPr>
        <sz val="14"/>
        <color rgb="FF1A7FC3"/>
        <rFont val="Merriweather"/>
      </rPr>
      <t>cubits</t>
    </r>
    <r>
      <rPr>
        <sz val="14"/>
        <color rgb="FF000000"/>
        <rFont val="Merriweather"/>
      </rPr>
      <t>)</t>
    </r>
  </si>
  <si>
    <t>Biblical and Talmudic units of measurement</t>
  </si>
  <si>
    <t>mille passus, milliarium</t>
  </si>
  <si>
    <t>Roman Empire</t>
  </si>
  <si>
    <t>Ancient Roman units of measurement</t>
  </si>
  <si>
    <t>miglio [94]</t>
  </si>
  <si>
    <t>Sicily</t>
  </si>
  <si>
    <t>London mile</t>
  </si>
  <si>
    <t>England</t>
  </si>
  <si>
    <t>(statute) mile</t>
  </si>
  <si>
    <t>England/UK</t>
  </si>
  <si>
    <t>1,760 yards</t>
  </si>
  <si>
    <t>Over the course of time, the length of a yard changed several times and consequently so did the English, and from 1824, the imperial mile. The statute mile was introduced in 1592 during the reign of Queen Elizabeth I</t>
  </si>
  <si>
    <t>mile</t>
  </si>
  <si>
    <t>some English speaking countries[ citation needed ]</t>
  </si>
  <si>
    <t>1,760 yards</t>
  </si>
  <si>
    <t>On 1 July 1959, the imperial mile was standardized to an exact length in metres. This figure corresponds to 5280 feet at 25.4 millimeters per inch.</t>
  </si>
  <si>
    <t>United States</t>
  </si>
  <si>
    <t>From 1959 also called the US Survey Mile. From then, its only utility has been land survey, before it was the standard mile. From 1893, its exact length in metres was: 3600/3937 × 1760</t>
  </si>
  <si>
    <t>Scots mile</t>
  </si>
  <si>
    <t>Scotland</t>
  </si>
  <si>
    <t>5,920 feet</t>
  </si>
  <si>
    <t>Italy</t>
  </si>
  <si>
    <t>nautical mile</t>
  </si>
  <si>
    <t>international</t>
  </si>
  <si>
    <r>
      <t>approx. 1 </t>
    </r>
    <r>
      <rPr>
        <sz val="14"/>
        <color rgb="FF1A7FC3"/>
        <rFont val="Merriweather"/>
      </rPr>
      <t>minute of arc</t>
    </r>
  </si>
  <si>
    <t>Measured at a circumference of 40,000 km. Abbreviation: NM, nm</t>
  </si>
  <si>
    <t>(for comparison)</t>
  </si>
  <si>
    <t>1 meridian minute</t>
  </si>
  <si>
    <t>Turkey</t>
  </si>
  <si>
    <t>1 equatorial minute</t>
  </si>
  <si>
    <t>Although the NM was defined on the basis of the minute, it varies from the equatorial minute, because at that time the circumference of the equator could only be estimated at 40,000 km.</t>
  </si>
  <si>
    <t>Portugal</t>
  </si>
  <si>
    <t>Gallo-Roman league</t>
  </si>
  <si>
    <t>Gallo-Roman culture</t>
  </si>
  <si>
    <t>1.5 miles</t>
  </si>
  <si>
    <r>
      <t>Under the reign of Emperor </t>
    </r>
    <r>
      <rPr>
        <sz val="14"/>
        <color rgb="FF1A7FC3"/>
        <rFont val="Merriweather"/>
      </rPr>
      <t>Septimius Severus</t>
    </r>
    <r>
      <rPr>
        <sz val="14"/>
        <color rgb="FF000000"/>
        <rFont val="Merriweather"/>
      </rPr>
      <t>, this replaced the Roman mile as the official unit of distance in the </t>
    </r>
    <r>
      <rPr>
        <sz val="14"/>
        <color rgb="FF1A7FC3"/>
        <rFont val="Merriweather"/>
      </rPr>
      <t>Gallic</t>
    </r>
    <r>
      <rPr>
        <sz val="14"/>
        <color rgb="FF000000"/>
        <rFont val="Merriweather"/>
      </rPr>
      <t> and </t>
    </r>
    <r>
      <rPr>
        <sz val="14"/>
        <color rgb="FF1A7FC3"/>
        <rFont val="Merriweather"/>
      </rPr>
      <t>Germanic</t>
    </r>
    <r>
      <rPr>
        <sz val="14"/>
        <color rgb="FF000000"/>
        <rFont val="Merriweather"/>
      </rPr>
      <t> provinces, although there were regional and temporal variations.</t>
    </r>
    <r>
      <rPr>
        <vertAlign val="superscript"/>
        <sz val="3.85"/>
        <color rgb="FF000000"/>
        <rFont val="Merriweather"/>
      </rPr>
      <t> </t>
    </r>
    <r>
      <rPr>
        <vertAlign val="superscript"/>
        <sz val="3.85"/>
        <color rgb="FF1A7FC3"/>
        <rFont val="Merriweather"/>
      </rPr>
      <t>[95]</t>
    </r>
  </si>
  <si>
    <t>Sardinia, Piemont</t>
  </si>
  <si>
    <t>Ireland</t>
  </si>
  <si>
    <t>Flanders</t>
  </si>
  <si>
    <t>French lieue (post league)</t>
  </si>
  <si>
    <t>France</t>
  </si>
  <si>
    <t>2,000 "body lengths"</t>
  </si>
  <si>
    <t>Ri</t>
  </si>
  <si>
    <t>Japan</t>
  </si>
  <si>
    <t>12,960 shaku</t>
  </si>
  <si>
    <r>
      <t>general</t>
    </r>
    <r>
      <rPr>
        <sz val="14"/>
        <color rgb="FF000000"/>
        <rFont val="Merriweather"/>
      </rPr>
      <t> or </t>
    </r>
    <r>
      <rPr>
        <i/>
        <sz val="14"/>
        <color rgb="FF000000"/>
        <rFont val="Merriweather"/>
      </rPr>
      <t>metric league</t>
    </r>
  </si>
  <si>
    <t>legue</t>
  </si>
  <si>
    <t>Guatemala</t>
  </si>
  <si>
    <t>Mexico [96]</t>
  </si>
  <si>
    <t>= 2,500 tresas = 5,000 varas</t>
  </si>
  <si>
    <t>4,444.8</t>
  </si>
  <si>
    <t>landleuge</t>
  </si>
  <si>
    <r>
      <t>1</t>
    </r>
    <r>
      <rPr>
        <sz val="14"/>
        <color rgb="FF000000"/>
        <rFont val="Merriweather"/>
      </rPr>
      <t>⁄</t>
    </r>
    <r>
      <rPr>
        <vertAlign val="subscript"/>
        <sz val="7"/>
        <color rgb="FF000000"/>
        <rFont val="Merriweather"/>
      </rPr>
      <t>25</t>
    </r>
    <r>
      <rPr>
        <sz val="14"/>
        <color rgb="FF000000"/>
        <rFont val="Merriweather"/>
      </rPr>
      <t>° of a circle of longitude</t>
    </r>
  </si>
  <si>
    <t>lieue commune</t>
  </si>
  <si>
    <t>Units of measurement in France before the French Revolution</t>
  </si>
  <si>
    <t>Paraguay</t>
  </si>
  <si>
    <t>legua</t>
  </si>
  <si>
    <t>Chile, [96] (Guatemala, Haiti)</t>
  </si>
  <si>
    <t>= 36 cuadros = 5,400 varas</t>
  </si>
  <si>
    <t>4,808</t>
  </si>
  <si>
    <t>Switzerland</t>
  </si>
  <si>
    <r>
      <t>English </t>
    </r>
    <r>
      <rPr>
        <i/>
        <sz val="14"/>
        <color rgb="FF000000"/>
        <rFont val="Merriweather"/>
      </rPr>
      <t>land league</t>
    </r>
  </si>
  <si>
    <t>3 miles</t>
  </si>
  <si>
    <r>
      <t>Germanic </t>
    </r>
    <r>
      <rPr>
        <i/>
        <sz val="14"/>
        <color rgb="FF000000"/>
        <rFont val="Merriweather"/>
      </rPr>
      <t>rasta</t>
    </r>
    <r>
      <rPr>
        <sz val="14"/>
        <color rgb="FF000000"/>
        <rFont val="Merriweather"/>
      </rPr>
      <t>, also </t>
    </r>
    <r>
      <rPr>
        <i/>
        <sz val="14"/>
        <color rgb="FF000000"/>
        <rFont val="Merriweather"/>
      </rPr>
      <t>doppelleuge</t>
    </r>
  </si>
  <si>
    <t>(double league)</t>
  </si>
  <si>
    <t>légua nova</t>
  </si>
  <si>
    <t>Portugal [96]</t>
  </si>
  <si>
    <t>Bolivia [96]</t>
  </si>
  <si>
    <t>= 40 ladres</t>
  </si>
  <si>
    <t>5,152</t>
  </si>
  <si>
    <t>legua Argentina</t>
  </si>
  <si>
    <t>Argentina, Buenos Aires [96]</t>
  </si>
  <si>
    <t>= 6,000 varas</t>
  </si>
  <si>
    <t>5,154</t>
  </si>
  <si>
    <t>Uruguay</t>
  </si>
  <si>
    <t>Bolivian legua</t>
  </si>
  <si>
    <t>Bolivia</t>
  </si>
  <si>
    <t>Venezuela</t>
  </si>
  <si>
    <t>Portuguese legua</t>
  </si>
  <si>
    <t>Ecuador</t>
  </si>
  <si>
    <t>Ecuadorian legua</t>
  </si>
  <si>
    <t>Landleuge</t>
  </si>
  <si>
    <t>(state league)</t>
  </si>
  <si>
    <t>Prussia</t>
  </si>
  <si>
    <t>Obsolete German units of measurement</t>
  </si>
  <si>
    <t>Honduras</t>
  </si>
  <si>
    <t>Seeleuge (nautical league)</t>
  </si>
  <si>
    <r>
      <t>1</t>
    </r>
    <r>
      <rPr>
        <sz val="14"/>
        <color rgb="FF000000"/>
        <rFont val="Merriweather"/>
      </rPr>
      <t>⁄</t>
    </r>
    <r>
      <rPr>
        <vertAlign val="subscript"/>
        <sz val="7"/>
        <color rgb="FF000000"/>
        <rFont val="Merriweather"/>
      </rPr>
      <t>20</t>
    </r>
    <r>
      <rPr>
        <sz val="14"/>
        <color rgb="FF000000"/>
        <rFont val="Merriweather"/>
      </rPr>
      <t>° of a circle of longitude</t>
    </r>
  </si>
  <si>
    <t>3 nautical miles</t>
  </si>
  <si>
    <t>Spain and Chile</t>
  </si>
  <si>
    <t>Spanish customary units</t>
  </si>
  <si>
    <t>Colombia [96]</t>
  </si>
  <si>
    <t>= 3 Millas</t>
  </si>
  <si>
    <t>5,572.7</t>
  </si>
  <si>
    <t>Peru [96]</t>
  </si>
  <si>
    <t>= 20,000 feet</t>
  </si>
  <si>
    <t>legua Antigua</t>
  </si>
  <si>
    <t>old league</t>
  </si>
  <si>
    <t>Spain [96]</t>
  </si>
  <si>
    <t>= 3 millas = 15,000 feet</t>
  </si>
  <si>
    <t>5,590</t>
  </si>
  <si>
    <t>légua</t>
  </si>
  <si>
    <t>Brazil [96]</t>
  </si>
  <si>
    <t>= 5,000 varas = 2,500 bracas</t>
  </si>
  <si>
    <t>5,600</t>
  </si>
  <si>
    <t>Brazilian legua</t>
  </si>
  <si>
    <t>Brazil</t>
  </si>
  <si>
    <t>Fersah (Turkish league)</t>
  </si>
  <si>
    <t>Ottoman Empire</t>
  </si>
  <si>
    <t>4 Turkish miles</t>
  </si>
  <si>
    <t>Derived from Persian parasang</t>
  </si>
  <si>
    <t>5,840 [97]</t>
  </si>
  <si>
    <t>Dutch mile</t>
  </si>
  <si>
    <t>Holland</t>
  </si>
  <si>
    <t>milltir</t>
  </si>
  <si>
    <t>Wales</t>
  </si>
  <si>
    <t>13thC</t>
  </si>
  <si>
    <t>9,000 camau ( = 27,000 troedfeddi = 243,000 inches)</t>
  </si>
  <si>
    <t>Eclipsed by the conquest of Wales by Edward I</t>
  </si>
  <si>
    <t>légua antiga</t>
  </si>
  <si>
    <t>= 3 milhas = 24 estadios</t>
  </si>
  <si>
    <t>6,240</t>
  </si>
  <si>
    <t>Persian legue</t>
  </si>
  <si>
    <t>Persia</t>
  </si>
  <si>
    <t>Luxembourg</t>
  </si>
  <si>
    <t>Belgium</t>
  </si>
  <si>
    <t>legua nueva</t>
  </si>
  <si>
    <t>new league, since 1766</t>
  </si>
  <si>
    <t>= 8,000 varas</t>
  </si>
  <si>
    <t>6,700</t>
  </si>
  <si>
    <t>Breslau mile</t>
  </si>
  <si>
    <t>Silesia</t>
  </si>
  <si>
    <r>
      <t>Also known as </t>
    </r>
    <r>
      <rPr>
        <i/>
        <sz val="14"/>
        <color rgb="FF000000"/>
        <rFont val="Merriweather"/>
      </rPr>
      <t>mila wrocławska</t>
    </r>
    <r>
      <rPr>
        <sz val="14"/>
        <color rgb="FF000000"/>
        <rFont val="Merriweather"/>
      </rPr>
      <t> in Polish</t>
    </r>
  </si>
  <si>
    <t>Landvermessermeile</t>
  </si>
  <si>
    <t>(state survey mile)</t>
  </si>
  <si>
    <t>Saxony</t>
  </si>
  <si>
    <t>Netherlands</t>
  </si>
  <si>
    <t>4 meridian minutes</t>
  </si>
  <si>
    <t>Kingdom of Hanover</t>
  </si>
  <si>
    <t>Duchy of Brunswick</t>
  </si>
  <si>
    <t>Bavaria</t>
  </si>
  <si>
    <t>geographic mile</t>
  </si>
  <si>
    <r>
      <t>1</t>
    </r>
    <r>
      <rPr>
        <sz val="14"/>
        <color rgb="FF000000"/>
        <rFont val="Merriweather"/>
      </rPr>
      <t>⁄</t>
    </r>
    <r>
      <rPr>
        <vertAlign val="subscript"/>
        <sz val="7"/>
        <color rgb="FF000000"/>
        <rFont val="Merriweather"/>
      </rPr>
      <t>15</t>
    </r>
    <r>
      <rPr>
        <sz val="14"/>
        <color rgb="FF000000"/>
        <rFont val="Merriweather"/>
      </rPr>
      <t> equatorial </t>
    </r>
    <r>
      <rPr>
        <sz val="14"/>
        <color rgb="FF1A7FC3"/>
        <rFont val="Merriweather"/>
      </rPr>
      <t>grads</t>
    </r>
    <r>
      <rPr>
        <sz val="14"/>
        <color rgb="FF000000"/>
        <rFont val="Merriweather"/>
      </rPr>
      <t> </t>
    </r>
    <r>
      <rPr>
        <vertAlign val="superscript"/>
        <sz val="3.85"/>
        <color rgb="FF000000"/>
        <rFont val="Merriweather"/>
      </rPr>
      <t>[</t>
    </r>
    <r>
      <rPr>
        <i/>
        <vertAlign val="superscript"/>
        <sz val="3.85"/>
        <color rgb="FF000000"/>
        <rFont val="Merriweather"/>
      </rPr>
      <t> </t>
    </r>
    <r>
      <rPr>
        <i/>
        <vertAlign val="superscript"/>
        <sz val="3.85"/>
        <color rgb="FF1A7FC3"/>
        <rFont val="Merriweather"/>
      </rPr>
      <t>dubious</t>
    </r>
    <r>
      <rPr>
        <i/>
        <vertAlign val="superscript"/>
        <sz val="3.85"/>
        <color rgb="FF000000"/>
        <rFont val="Merriweather"/>
      </rPr>
      <t> – discuss </t>
    </r>
    <r>
      <rPr>
        <vertAlign val="superscript"/>
        <sz val="3.85"/>
        <color rgb="FF000000"/>
        <rFont val="Merriweather"/>
      </rPr>
      <t>]</t>
    </r>
  </si>
  <si>
    <t>4 equatorial minutes</t>
  </si>
  <si>
    <t>Württemberg</t>
  </si>
  <si>
    <t>Hohenzollern</t>
  </si>
  <si>
    <t>Russia</t>
  </si>
  <si>
    <t>7 verst</t>
  </si>
  <si>
    <t>Obsolete Russian units of measurement</t>
  </si>
  <si>
    <t>Bohemia</t>
  </si>
  <si>
    <t>kleine / neue Postmeile</t>
  </si>
  <si>
    <t>(small/new postal mile)</t>
  </si>
  <si>
    <r>
      <t>German Empire</t>
    </r>
    <r>
      <rPr>
        <sz val="14"/>
        <color rgb="FF000000"/>
        <rFont val="Merriweather"/>
      </rPr>
      <t>, </t>
    </r>
    <r>
      <rPr>
        <sz val="14"/>
        <color rgb="FF1A7FC3"/>
        <rFont val="Merriweather"/>
      </rPr>
      <t>North German Confederation</t>
    </r>
    <r>
      <rPr>
        <sz val="14"/>
        <color rgb="FF000000"/>
        <rFont val="Merriweather"/>
      </rPr>
      <t>, </t>
    </r>
    <r>
      <rPr>
        <sz val="14"/>
        <color rgb="FF1A7FC3"/>
        <rFont val="Merriweather"/>
      </rPr>
      <t>Grand Duchy of Hesse</t>
    </r>
    <r>
      <rPr>
        <sz val="14"/>
        <color rgb="FF000000"/>
        <rFont val="Merriweather"/>
      </rPr>
      <t>, Russia. </t>
    </r>
    <r>
      <rPr>
        <sz val="14"/>
        <color rgb="FF1A7FC3"/>
        <rFont val="Merriweather"/>
      </rPr>
      <t>Obsolete German units of measurement</t>
    </r>
  </si>
  <si>
    <t>Land(es)meile</t>
  </si>
  <si>
    <t>(German state mile)</t>
  </si>
  <si>
    <t>Denmark, Hamburg, Prussia</t>
  </si>
  <si>
    <r>
      <t>Primarily for Denmark defined by </t>
    </r>
    <r>
      <rPr>
        <sz val="14"/>
        <color rgb="FF1A7FC3"/>
        <rFont val="Merriweather"/>
      </rPr>
      <t>Ole Rømer</t>
    </r>
    <r>
      <rPr>
        <sz val="14"/>
        <color rgb="FF000000"/>
        <rFont val="Merriweather"/>
      </rPr>
      <t>. </t>
    </r>
    <r>
      <rPr>
        <sz val="14"/>
        <color rgb="FF1A7FC3"/>
        <rFont val="Merriweather"/>
      </rPr>
      <t>Obsolete German units of measurement</t>
    </r>
  </si>
  <si>
    <t>Postmeile</t>
  </si>
  <si>
    <t>(post mile)</t>
  </si>
  <si>
    <t>Austro-Hungary</t>
  </si>
  <si>
    <t>Austrian units of measurement</t>
  </si>
  <si>
    <t>Milă</t>
  </si>
  <si>
    <t>Romania</t>
  </si>
  <si>
    <t>Mila</t>
  </si>
  <si>
    <t>Poland</t>
  </si>
  <si>
    <r>
      <t>7146 meters before 1819, also equaled 7 </t>
    </r>
    <r>
      <rPr>
        <sz val="14"/>
        <color rgb="FF1A7FC3"/>
        <rFont val="Merriweather"/>
      </rPr>
      <t>verst</t>
    </r>
    <r>
      <rPr>
        <sz val="14"/>
        <color rgb="FF000000"/>
        <rFont val="Merriweather"/>
      </rPr>
      <t> </t>
    </r>
    <r>
      <rPr>
        <vertAlign val="superscript"/>
        <sz val="3.85"/>
        <color rgb="FF1A7FC3"/>
        <rFont val="Merriweather"/>
      </rPr>
      <t>[98]</t>
    </r>
  </si>
  <si>
    <t>Schleswig-Holstein</t>
  </si>
  <si>
    <t>Baden</t>
  </si>
  <si>
    <t>mittlere Post- / Polizeimeile</t>
  </si>
  <si>
    <t>(middle post mile or police mile)</t>
  </si>
  <si>
    <t>Electorate of Hesse</t>
  </si>
  <si>
    <t>5 meridian minutes</t>
  </si>
  <si>
    <t>5 equatorial minutes</t>
  </si>
  <si>
    <t>alte Landmeile</t>
  </si>
  <si>
    <t>(old state mile)</t>
  </si>
  <si>
    <t>Hanover</t>
  </si>
  <si>
    <t>Oldenburg</t>
  </si>
  <si>
    <t>metric mile, Scandinavian mile</t>
  </si>
  <si>
    <t>Norway, Sweden</t>
  </si>
  <si>
    <r>
      <t>Still commonly used today, e.g. for road distances; equates to the </t>
    </r>
    <r>
      <rPr>
        <sz val="14"/>
        <color rgb="FF1A7FC3"/>
        <rFont val="Merriweather"/>
      </rPr>
      <t>myriametre</t>
    </r>
  </si>
  <si>
    <t>große Meile</t>
  </si>
  <si>
    <t>(great mile)</t>
  </si>
  <si>
    <t>Westphalia</t>
  </si>
  <si>
    <t>Finland</t>
  </si>
  <si>
    <t>mil</t>
  </si>
  <si>
    <t>Sweden</t>
  </si>
  <si>
    <t>In normal speech, "mil" means a Scandinavian mile of 10 km.</t>
  </si>
  <si>
    <t>6 meridian minutes</t>
  </si>
  <si>
    <t>6 equatorial minutes</t>
  </si>
  <si>
    <t>Norway</t>
  </si>
  <si>
    <t>was equivalent to 3,000 Rhenish rods.</t>
  </si>
  <si>
    <t>2,000 amot (cubits)</t>
  </si>
  <si>
    <t>approx. 1 minute of arc</t>
  </si>
  <si>
    <t>Under the reign of Emperor Septimius Severus, this replaced the Roman mile as the official unit of distance in the Gallic and Germanic provinces, although there were regional and temporal variations. [95]</t>
  </si>
  <si>
    <t>general or metric league</t>
  </si>
  <si>
    <t>1⁄25° of a circle of longitude</t>
  </si>
  <si>
    <t>English land league</t>
  </si>
  <si>
    <t>Germanic rasta, also doppelleuge</t>
  </si>
  <si>
    <t>1⁄20° of a circle of longitude</t>
  </si>
  <si>
    <t>Also known as mila wrocławska in Polish</t>
  </si>
  <si>
    <t>1⁄15 equatorial grads [ dubious – discuss ]</t>
  </si>
  <si>
    <t>German Empire, North German Confederation, Grand Duchy of Hesse, Russia. Obsolete German units of measurement</t>
  </si>
  <si>
    <t>Primarily for Denmark defined by Ole Rømer. Obsolete German units of measurement</t>
  </si>
  <si>
    <t>7146 meters before 1819, also equaled 7 verst [98]</t>
  </si>
  <si>
    <t>Still commonly used today, e.g. for road distances; equates to the myriametre</t>
  </si>
  <si>
    <t>    Arc ÷ Chord   Ratio         Angle</t>
  </si>
  <si>
    <r>
      <t>  </t>
    </r>
    <r>
      <rPr>
        <b/>
        <sz val="11"/>
        <color theme="1"/>
        <rFont val="Arial"/>
        <family val="2"/>
      </rPr>
      <t>1.0000126925</t>
    </r>
  </si>
  <si>
    <r>
      <t>      </t>
    </r>
    <r>
      <rPr>
        <b/>
        <sz val="11"/>
        <color theme="1"/>
        <rFont val="Arial"/>
        <family val="2"/>
      </rPr>
      <t>1</t>
    </r>
  </si>
  <si>
    <r>
      <t>  </t>
    </r>
    <r>
      <rPr>
        <b/>
        <sz val="11"/>
        <color theme="1"/>
        <rFont val="Arial"/>
        <family val="2"/>
      </rPr>
      <t>1.0000507714  </t>
    </r>
  </si>
  <si>
    <r>
      <t>      </t>
    </r>
    <r>
      <rPr>
        <b/>
        <sz val="11"/>
        <color theme="1"/>
        <rFont val="Arial"/>
        <family val="2"/>
      </rPr>
      <t>2  </t>
    </r>
  </si>
  <si>
    <r>
      <t>  </t>
    </r>
    <r>
      <rPr>
        <b/>
        <sz val="11"/>
        <color theme="1"/>
        <rFont val="Arial"/>
        <family val="2"/>
      </rPr>
      <t>1.0001142407  </t>
    </r>
  </si>
  <si>
    <r>
      <t>      </t>
    </r>
    <r>
      <rPr>
        <b/>
        <sz val="11"/>
        <color theme="1"/>
        <rFont val="Arial"/>
        <family val="2"/>
      </rPr>
      <t>3  </t>
    </r>
  </si>
  <si>
    <r>
      <t>  </t>
    </r>
    <r>
      <rPr>
        <b/>
        <sz val="11"/>
        <color theme="1"/>
        <rFont val="Arial"/>
        <family val="2"/>
      </rPr>
      <t>1.0002031072  </t>
    </r>
  </si>
  <si>
    <r>
      <t>      </t>
    </r>
    <r>
      <rPr>
        <b/>
        <sz val="11"/>
        <color theme="1"/>
        <rFont val="Arial"/>
        <family val="2"/>
      </rPr>
      <t>4  </t>
    </r>
  </si>
  <si>
    <r>
      <t>  </t>
    </r>
    <r>
      <rPr>
        <b/>
        <sz val="11"/>
        <color theme="1"/>
        <rFont val="Arial"/>
        <family val="2"/>
      </rPr>
      <t>1.0003173803  </t>
    </r>
  </si>
  <si>
    <r>
      <t>      </t>
    </r>
    <r>
      <rPr>
        <b/>
        <sz val="11"/>
        <color theme="1"/>
        <rFont val="Arial"/>
        <family val="2"/>
      </rPr>
      <t>5  </t>
    </r>
  </si>
  <si>
    <r>
      <t>  </t>
    </r>
    <r>
      <rPr>
        <b/>
        <sz val="11"/>
        <color theme="1"/>
        <rFont val="Arial"/>
        <family val="2"/>
      </rPr>
      <t>1.0004570723  </t>
    </r>
  </si>
  <si>
    <r>
      <t>      </t>
    </r>
    <r>
      <rPr>
        <b/>
        <sz val="11"/>
        <color theme="1"/>
        <rFont val="Arial"/>
        <family val="2"/>
      </rPr>
      <t>6  </t>
    </r>
  </si>
  <si>
    <r>
      <t>  </t>
    </r>
    <r>
      <rPr>
        <b/>
        <sz val="11"/>
        <color theme="1"/>
        <rFont val="Arial"/>
        <family val="2"/>
      </rPr>
      <t>1.0006221981  </t>
    </r>
  </si>
  <si>
    <r>
      <t>      </t>
    </r>
    <r>
      <rPr>
        <b/>
        <sz val="11"/>
        <color theme="1"/>
        <rFont val="Arial"/>
        <family val="2"/>
      </rPr>
      <t>7  </t>
    </r>
  </si>
  <si>
    <r>
      <t>  </t>
    </r>
    <r>
      <rPr>
        <b/>
        <sz val="11"/>
        <color theme="1"/>
        <rFont val="Arial"/>
        <family val="2"/>
      </rPr>
      <t>1.0008127753  </t>
    </r>
  </si>
  <si>
    <r>
      <t>      </t>
    </r>
    <r>
      <rPr>
        <b/>
        <sz val="11"/>
        <color theme="1"/>
        <rFont val="Arial"/>
        <family val="2"/>
      </rPr>
      <t>8  </t>
    </r>
  </si>
  <si>
    <r>
      <t>  </t>
    </r>
    <r>
      <rPr>
        <b/>
        <sz val="11"/>
        <color theme="1"/>
        <rFont val="Arial"/>
        <family val="2"/>
      </rPr>
      <t>1.0010288241  </t>
    </r>
  </si>
  <si>
    <r>
      <t>      </t>
    </r>
    <r>
      <rPr>
        <b/>
        <sz val="11"/>
        <color theme="1"/>
        <rFont val="Arial"/>
        <family val="2"/>
      </rPr>
      <t>9  </t>
    </r>
  </si>
  <si>
    <r>
      <t>  </t>
    </r>
    <r>
      <rPr>
        <b/>
        <sz val="11"/>
        <color theme="1"/>
        <rFont val="Arial"/>
        <family val="2"/>
      </rPr>
      <t>1.0012703678  </t>
    </r>
  </si>
  <si>
    <r>
      <t>    </t>
    </r>
    <r>
      <rPr>
        <b/>
        <sz val="11"/>
        <color theme="1"/>
        <rFont val="Arial"/>
        <family val="2"/>
      </rPr>
      <t>10  </t>
    </r>
  </si>
  <si>
    <r>
      <t>  </t>
    </r>
    <r>
      <rPr>
        <b/>
        <sz val="11"/>
        <color theme="1"/>
        <rFont val="Arial"/>
        <family val="2"/>
      </rPr>
      <t>1.0015374321  </t>
    </r>
  </si>
  <si>
    <r>
      <t>    </t>
    </r>
    <r>
      <rPr>
        <b/>
        <sz val="11"/>
        <color theme="1"/>
        <rFont val="Arial"/>
        <family val="2"/>
      </rPr>
      <t>11  </t>
    </r>
  </si>
  <si>
    <r>
      <t>  </t>
    </r>
    <r>
      <rPr>
        <b/>
        <sz val="11"/>
        <color theme="1"/>
        <rFont val="Arial"/>
        <family val="2"/>
      </rPr>
      <t>1.0018300456  </t>
    </r>
  </si>
  <si>
    <r>
      <t>    </t>
    </r>
    <r>
      <rPr>
        <b/>
        <sz val="11"/>
        <color theme="1"/>
        <rFont val="Arial"/>
        <family val="2"/>
      </rPr>
      <t>12  </t>
    </r>
  </si>
  <si>
    <r>
      <t>  </t>
    </r>
    <r>
      <rPr>
        <b/>
        <sz val="11"/>
        <color theme="1"/>
        <rFont val="Arial"/>
        <family val="2"/>
      </rPr>
      <t>1.0021482395  </t>
    </r>
  </si>
  <si>
    <r>
      <t>    </t>
    </r>
    <r>
      <rPr>
        <b/>
        <sz val="11"/>
        <color theme="1"/>
        <rFont val="Arial"/>
        <family val="2"/>
      </rPr>
      <t>13  </t>
    </r>
  </si>
  <si>
    <r>
      <t>  </t>
    </r>
    <r>
      <rPr>
        <b/>
        <sz val="11"/>
        <color theme="1"/>
        <rFont val="Arial"/>
        <family val="2"/>
      </rPr>
      <t>1.0024920478  </t>
    </r>
  </si>
  <si>
    <r>
      <t>    </t>
    </r>
    <r>
      <rPr>
        <b/>
        <sz val="11"/>
        <color theme="1"/>
        <rFont val="Arial"/>
        <family val="2"/>
      </rPr>
      <t>14  </t>
    </r>
  </si>
  <si>
    <r>
      <t>  </t>
    </r>
    <r>
      <rPr>
        <b/>
        <sz val="11"/>
        <color theme="1"/>
        <rFont val="Arial"/>
        <family val="2"/>
      </rPr>
      <t>1.0028615075  </t>
    </r>
  </si>
  <si>
    <r>
      <t>    </t>
    </r>
    <r>
      <rPr>
        <b/>
        <sz val="11"/>
        <color theme="1"/>
        <rFont val="Arial"/>
        <family val="2"/>
      </rPr>
      <t>15  </t>
    </r>
  </si>
  <si>
    <r>
      <t>  </t>
    </r>
    <r>
      <rPr>
        <b/>
        <sz val="11"/>
        <color theme="1"/>
        <rFont val="Arial"/>
        <family val="2"/>
      </rPr>
      <t>1.003256658  </t>
    </r>
  </si>
  <si>
    <r>
      <t>    </t>
    </r>
    <r>
      <rPr>
        <b/>
        <sz val="11"/>
        <color theme="1"/>
        <rFont val="Arial"/>
        <family val="2"/>
      </rPr>
      <t>16  </t>
    </r>
  </si>
  <si>
    <r>
      <t>  </t>
    </r>
    <r>
      <rPr>
        <b/>
        <sz val="11"/>
        <color theme="1"/>
        <rFont val="Arial"/>
        <family val="2"/>
      </rPr>
      <t>1.0036775418  </t>
    </r>
  </si>
  <si>
    <r>
      <t>    </t>
    </r>
    <r>
      <rPr>
        <b/>
        <sz val="11"/>
        <color theme="1"/>
        <rFont val="Arial"/>
        <family val="2"/>
      </rPr>
      <t>17  </t>
    </r>
  </si>
  <si>
    <r>
      <t>  </t>
    </r>
    <r>
      <rPr>
        <b/>
        <sz val="11"/>
        <color theme="1"/>
        <rFont val="Arial"/>
        <family val="2"/>
      </rPr>
      <t>1.004124204  </t>
    </r>
  </si>
  <si>
    <r>
      <t>    </t>
    </r>
    <r>
      <rPr>
        <b/>
        <sz val="11"/>
        <color theme="1"/>
        <rFont val="Arial"/>
        <family val="2"/>
      </rPr>
      <t>18  </t>
    </r>
  </si>
  <si>
    <r>
      <t>  </t>
    </r>
    <r>
      <rPr>
        <b/>
        <sz val="11"/>
        <color theme="1"/>
        <rFont val="Arial"/>
        <family val="2"/>
      </rPr>
      <t>1.0045966924  </t>
    </r>
  </si>
  <si>
    <r>
      <t>    </t>
    </r>
    <r>
      <rPr>
        <b/>
        <sz val="11"/>
        <color theme="1"/>
        <rFont val="Arial"/>
        <family val="2"/>
      </rPr>
      <t>19  </t>
    </r>
  </si>
  <si>
    <r>
      <t>  </t>
    </r>
    <r>
      <rPr>
        <b/>
        <sz val="11"/>
        <color theme="1"/>
        <rFont val="Arial"/>
        <family val="2"/>
      </rPr>
      <t>1.005095058  </t>
    </r>
  </si>
  <si>
    <r>
      <t>    </t>
    </r>
    <r>
      <rPr>
        <b/>
        <sz val="11"/>
        <color theme="1"/>
        <rFont val="Arial"/>
        <family val="2"/>
      </rPr>
      <t>20  </t>
    </r>
  </si>
  <si>
    <r>
      <t>  </t>
    </r>
    <r>
      <rPr>
        <b/>
        <sz val="11"/>
        <color theme="1"/>
        <rFont val="Arial"/>
        <family val="2"/>
      </rPr>
      <t>1.0056193542  </t>
    </r>
  </si>
  <si>
    <r>
      <t>    </t>
    </r>
    <r>
      <rPr>
        <b/>
        <sz val="11"/>
        <color theme="1"/>
        <rFont val="Arial"/>
        <family val="2"/>
      </rPr>
      <t>21  </t>
    </r>
  </si>
  <si>
    <r>
      <t>  </t>
    </r>
    <r>
      <rPr>
        <b/>
        <sz val="11"/>
        <color theme="1"/>
        <rFont val="Arial"/>
        <family val="2"/>
      </rPr>
      <t>1.0061696376  </t>
    </r>
  </si>
  <si>
    <r>
      <t>    </t>
    </r>
    <r>
      <rPr>
        <b/>
        <sz val="11"/>
        <color theme="1"/>
        <rFont val="Arial"/>
        <family val="2"/>
      </rPr>
      <t>22  </t>
    </r>
  </si>
  <si>
    <r>
      <t>  </t>
    </r>
    <r>
      <rPr>
        <b/>
        <sz val="11"/>
        <color theme="1"/>
        <rFont val="Arial"/>
        <family val="2"/>
      </rPr>
      <t>1.0067459673  </t>
    </r>
  </si>
  <si>
    <r>
      <t>    </t>
    </r>
    <r>
      <rPr>
        <b/>
        <sz val="11"/>
        <color theme="1"/>
        <rFont val="Arial"/>
        <family val="2"/>
      </rPr>
      <t>23  </t>
    </r>
  </si>
  <si>
    <r>
      <t>  </t>
    </r>
    <r>
      <rPr>
        <b/>
        <sz val="11"/>
        <color theme="1"/>
        <rFont val="Arial"/>
        <family val="2"/>
      </rPr>
      <t>1.0073484055  </t>
    </r>
  </si>
  <si>
    <r>
      <t>    </t>
    </r>
    <r>
      <rPr>
        <b/>
        <sz val="11"/>
        <color theme="1"/>
        <rFont val="Arial"/>
        <family val="2"/>
      </rPr>
      <t>24  </t>
    </r>
  </si>
  <si>
    <r>
      <t>  </t>
    </r>
    <r>
      <rPr>
        <b/>
        <sz val="11"/>
        <color theme="1"/>
        <rFont val="Arial"/>
        <family val="2"/>
      </rPr>
      <t>1.0079770174  </t>
    </r>
  </si>
  <si>
    <r>
      <t>    </t>
    </r>
    <r>
      <rPr>
        <b/>
        <sz val="11"/>
        <color theme="1"/>
        <rFont val="Arial"/>
        <family val="2"/>
      </rPr>
      <t>25  </t>
    </r>
  </si>
  <si>
    <r>
      <t>  </t>
    </r>
    <r>
      <rPr>
        <b/>
        <sz val="11"/>
        <color theme="1"/>
        <rFont val="Arial"/>
        <family val="2"/>
      </rPr>
      <t>1.0086318707  </t>
    </r>
  </si>
  <si>
    <r>
      <t>    </t>
    </r>
    <r>
      <rPr>
        <b/>
        <sz val="11"/>
        <color theme="1"/>
        <rFont val="Arial"/>
        <family val="2"/>
      </rPr>
      <t>26  </t>
    </r>
  </si>
  <si>
    <r>
      <t>  </t>
    </r>
    <r>
      <rPr>
        <b/>
        <sz val="11"/>
        <color theme="1"/>
        <rFont val="Arial"/>
        <family val="2"/>
      </rPr>
      <t>1.0093130364  </t>
    </r>
  </si>
  <si>
    <r>
      <t>    </t>
    </r>
    <r>
      <rPr>
        <b/>
        <sz val="11"/>
        <color theme="1"/>
        <rFont val="Arial"/>
        <family val="2"/>
      </rPr>
      <t>27  </t>
    </r>
  </si>
  <si>
    <r>
      <t>  </t>
    </r>
    <r>
      <rPr>
        <b/>
        <sz val="11"/>
        <color theme="1"/>
        <rFont val="Arial"/>
        <family val="2"/>
      </rPr>
      <t>1.0100205881  </t>
    </r>
  </si>
  <si>
    <r>
      <t>    </t>
    </r>
    <r>
      <rPr>
        <b/>
        <sz val="11"/>
        <color theme="1"/>
        <rFont val="Arial"/>
        <family val="2"/>
      </rPr>
      <t>28  </t>
    </r>
  </si>
  <si>
    <r>
      <t>  </t>
    </r>
    <r>
      <rPr>
        <b/>
        <sz val="11"/>
        <color theme="1"/>
        <rFont val="Arial"/>
        <family val="2"/>
      </rPr>
      <t>1.0107546028  </t>
    </r>
  </si>
  <si>
    <r>
      <t>    </t>
    </r>
    <r>
      <rPr>
        <b/>
        <sz val="11"/>
        <color theme="1"/>
        <rFont val="Arial"/>
        <family val="2"/>
      </rPr>
      <t>29  </t>
    </r>
  </si>
  <si>
    <r>
      <t>  </t>
    </r>
    <r>
      <rPr>
        <b/>
        <sz val="11"/>
        <color theme="1"/>
        <rFont val="Arial"/>
        <family val="2"/>
      </rPr>
      <t>1.0115151599  </t>
    </r>
  </si>
  <si>
    <r>
      <t>    </t>
    </r>
    <r>
      <rPr>
        <b/>
        <sz val="11"/>
        <color theme="1"/>
        <rFont val="Arial"/>
        <family val="2"/>
      </rPr>
      <t>30  </t>
    </r>
  </si>
  <si>
    <r>
      <t>  </t>
    </r>
    <r>
      <rPr>
        <b/>
        <sz val="11"/>
        <color theme="1"/>
        <rFont val="Arial"/>
        <family val="2"/>
      </rPr>
      <t>1.0123023423  </t>
    </r>
  </si>
  <si>
    <r>
      <t>    </t>
    </r>
    <r>
      <rPr>
        <b/>
        <sz val="11"/>
        <color theme="1"/>
        <rFont val="Arial"/>
        <family val="2"/>
      </rPr>
      <t>31  </t>
    </r>
  </si>
  <si>
    <r>
      <t>  </t>
    </r>
    <r>
      <rPr>
        <b/>
        <sz val="11"/>
        <color theme="1"/>
        <rFont val="Arial"/>
        <family val="2"/>
      </rPr>
      <t>1.0131162356  </t>
    </r>
  </si>
  <si>
    <r>
      <t>    </t>
    </r>
    <r>
      <rPr>
        <b/>
        <sz val="11"/>
        <color theme="1"/>
        <rFont val="Arial"/>
        <family val="2"/>
      </rPr>
      <t>32  </t>
    </r>
  </si>
  <si>
    <r>
      <t>  </t>
    </r>
    <r>
      <rPr>
        <b/>
        <sz val="11"/>
        <color theme="1"/>
        <rFont val="Arial"/>
        <family val="2"/>
      </rPr>
      <t>1.0139569286  </t>
    </r>
  </si>
  <si>
    <r>
      <t>    </t>
    </r>
    <r>
      <rPr>
        <b/>
        <sz val="11"/>
        <color theme="1"/>
        <rFont val="Arial"/>
        <family val="2"/>
      </rPr>
      <t>33  </t>
    </r>
  </si>
  <si>
    <r>
      <t>  </t>
    </r>
    <r>
      <rPr>
        <b/>
        <sz val="11"/>
        <color theme="1"/>
        <rFont val="Arial"/>
        <family val="2"/>
      </rPr>
      <t>1.0148245129  </t>
    </r>
  </si>
  <si>
    <r>
      <t>    </t>
    </r>
    <r>
      <rPr>
        <b/>
        <sz val="11"/>
        <color theme="1"/>
        <rFont val="Arial"/>
        <family val="2"/>
      </rPr>
      <t>34  </t>
    </r>
  </si>
  <si>
    <r>
      <t>  </t>
    </r>
    <r>
      <rPr>
        <b/>
        <sz val="11"/>
        <color theme="1"/>
        <rFont val="Arial"/>
        <family val="2"/>
      </rPr>
      <t>1.0157190836  </t>
    </r>
  </si>
  <si>
    <r>
      <t>    </t>
    </r>
    <r>
      <rPr>
        <b/>
        <sz val="11"/>
        <color theme="1"/>
        <rFont val="Arial"/>
        <family val="2"/>
      </rPr>
      <t>35  </t>
    </r>
  </si>
  <si>
    <r>
      <t>  </t>
    </r>
    <r>
      <rPr>
        <b/>
        <sz val="11"/>
        <color theme="1"/>
        <rFont val="Arial"/>
        <family val="2"/>
      </rPr>
      <t>1.0166407385  </t>
    </r>
  </si>
  <si>
    <r>
      <t>    </t>
    </r>
    <r>
      <rPr>
        <b/>
        <sz val="11"/>
        <color theme="1"/>
        <rFont val="Arial"/>
        <family val="2"/>
      </rPr>
      <t>36  </t>
    </r>
  </si>
  <si>
    <r>
      <t>  </t>
    </r>
    <r>
      <rPr>
        <b/>
        <sz val="11"/>
        <color theme="1"/>
        <rFont val="Arial"/>
        <family val="2"/>
      </rPr>
      <t>1.0175895787  </t>
    </r>
  </si>
  <si>
    <r>
      <t>    </t>
    </r>
    <r>
      <rPr>
        <b/>
        <sz val="11"/>
        <color theme="1"/>
        <rFont val="Arial"/>
        <family val="2"/>
      </rPr>
      <t>37  </t>
    </r>
  </si>
  <si>
    <r>
      <t>  </t>
    </r>
    <r>
      <rPr>
        <b/>
        <sz val="11"/>
        <color theme="1"/>
        <rFont val="Arial"/>
        <family val="2"/>
      </rPr>
      <t>1.0185657084  </t>
    </r>
  </si>
  <si>
    <r>
      <t>    </t>
    </r>
    <r>
      <rPr>
        <b/>
        <sz val="11"/>
        <color theme="1"/>
        <rFont val="Arial"/>
        <family val="2"/>
      </rPr>
      <t>38  </t>
    </r>
  </si>
  <si>
    <r>
      <t>  </t>
    </r>
    <r>
      <rPr>
        <b/>
        <sz val="11"/>
        <color theme="1"/>
        <rFont val="Arial"/>
        <family val="2"/>
      </rPr>
      <t>1.0195692351  </t>
    </r>
  </si>
  <si>
    <r>
      <t>    </t>
    </r>
    <r>
      <rPr>
        <b/>
        <sz val="11"/>
        <color theme="1"/>
        <rFont val="Arial"/>
        <family val="2"/>
      </rPr>
      <t>39  </t>
    </r>
  </si>
  <si>
    <r>
      <t>  </t>
    </r>
    <r>
      <rPr>
        <b/>
        <sz val="11"/>
        <color theme="1"/>
        <rFont val="Arial"/>
        <family val="2"/>
      </rPr>
      <t>1.0206002693  </t>
    </r>
  </si>
  <si>
    <r>
      <t>    </t>
    </r>
    <r>
      <rPr>
        <b/>
        <sz val="11"/>
        <color theme="1"/>
        <rFont val="Arial"/>
        <family val="2"/>
      </rPr>
      <t>40  </t>
    </r>
  </si>
  <si>
    <r>
      <t>  </t>
    </r>
    <r>
      <rPr>
        <b/>
        <sz val="11"/>
        <color theme="1"/>
        <rFont val="Arial"/>
        <family val="2"/>
      </rPr>
      <t>1.021658925  </t>
    </r>
  </si>
  <si>
    <r>
      <t>    </t>
    </r>
    <r>
      <rPr>
        <b/>
        <sz val="11"/>
        <color theme="1"/>
        <rFont val="Arial"/>
        <family val="2"/>
      </rPr>
      <t>41  </t>
    </r>
  </si>
  <si>
    <r>
      <t>  </t>
    </r>
    <r>
      <rPr>
        <b/>
        <sz val="11"/>
        <color theme="1"/>
        <rFont val="Arial"/>
        <family val="2"/>
      </rPr>
      <t>1.0227453191  </t>
    </r>
  </si>
  <si>
    <r>
      <t>    </t>
    </r>
    <r>
      <rPr>
        <b/>
        <sz val="11"/>
        <color theme="1"/>
        <rFont val="Arial"/>
        <family val="2"/>
      </rPr>
      <t>42  </t>
    </r>
  </si>
  <si>
    <r>
      <t>  </t>
    </r>
    <r>
      <rPr>
        <b/>
        <sz val="11"/>
        <color theme="1"/>
        <rFont val="Arial"/>
        <family val="2"/>
      </rPr>
      <t>1.0238595721  </t>
    </r>
  </si>
  <si>
    <r>
      <t>    </t>
    </r>
    <r>
      <rPr>
        <b/>
        <sz val="11"/>
        <color theme="1"/>
        <rFont val="Arial"/>
        <family val="2"/>
      </rPr>
      <t>43  </t>
    </r>
  </si>
  <si>
    <r>
      <t>  </t>
    </r>
    <r>
      <rPr>
        <b/>
        <sz val="11"/>
        <color theme="1"/>
        <rFont val="Arial"/>
        <family val="2"/>
      </rPr>
      <t>1.0250018077  </t>
    </r>
  </si>
  <si>
    <r>
      <t>    </t>
    </r>
    <r>
      <rPr>
        <b/>
        <sz val="11"/>
        <color theme="1"/>
        <rFont val="Arial"/>
        <family val="2"/>
      </rPr>
      <t>44  </t>
    </r>
  </si>
  <si>
    <r>
      <t>  </t>
    </r>
    <r>
      <rPr>
        <b/>
        <sz val="11"/>
        <color theme="1"/>
        <rFont val="Arial"/>
        <family val="2"/>
      </rPr>
      <t>1.026172153  </t>
    </r>
  </si>
  <si>
    <r>
      <t>    </t>
    </r>
    <r>
      <rPr>
        <b/>
        <sz val="11"/>
        <color theme="1"/>
        <rFont val="Arial"/>
        <family val="2"/>
      </rPr>
      <t>45  </t>
    </r>
  </si>
  <si>
    <r>
      <t>  </t>
    </r>
    <r>
      <rPr>
        <b/>
        <sz val="11"/>
        <color theme="1"/>
        <rFont val="Arial"/>
        <family val="2"/>
      </rPr>
      <t>1.0273707383  </t>
    </r>
  </si>
  <si>
    <r>
      <t>    </t>
    </r>
    <r>
      <rPr>
        <b/>
        <sz val="11"/>
        <color theme="1"/>
        <rFont val="Arial"/>
        <family val="2"/>
      </rPr>
      <t>46  </t>
    </r>
  </si>
  <si>
    <r>
      <t>  </t>
    </r>
    <r>
      <rPr>
        <b/>
        <sz val="11"/>
        <color theme="1"/>
        <rFont val="Arial"/>
        <family val="2"/>
      </rPr>
      <t>1.0285976976  </t>
    </r>
  </si>
  <si>
    <r>
      <t>    </t>
    </r>
    <r>
      <rPr>
        <b/>
        <sz val="11"/>
        <color theme="1"/>
        <rFont val="Arial"/>
        <family val="2"/>
      </rPr>
      <t>47  </t>
    </r>
  </si>
  <si>
    <r>
      <t>  </t>
    </r>
    <r>
      <rPr>
        <b/>
        <sz val="11"/>
        <color theme="1"/>
        <rFont val="Arial"/>
        <family val="2"/>
      </rPr>
      <t>1.0298531682  </t>
    </r>
  </si>
  <si>
    <r>
      <t>    </t>
    </r>
    <r>
      <rPr>
        <b/>
        <sz val="11"/>
        <color theme="1"/>
        <rFont val="Arial"/>
        <family val="2"/>
      </rPr>
      <t>48  </t>
    </r>
  </si>
  <si>
    <r>
      <t>  </t>
    </r>
    <r>
      <rPr>
        <b/>
        <sz val="11"/>
        <color theme="1"/>
        <rFont val="Arial"/>
        <family val="2"/>
      </rPr>
      <t>1.0311372908  </t>
    </r>
  </si>
  <si>
    <r>
      <t>    </t>
    </r>
    <r>
      <rPr>
        <b/>
        <sz val="11"/>
        <color theme="1"/>
        <rFont val="Arial"/>
        <family val="2"/>
      </rPr>
      <t>49  </t>
    </r>
  </si>
  <si>
    <r>
      <t>  </t>
    </r>
    <r>
      <rPr>
        <b/>
        <sz val="11"/>
        <color theme="1"/>
        <rFont val="Arial"/>
        <family val="2"/>
      </rPr>
      <t>1.0324502098  </t>
    </r>
  </si>
  <si>
    <r>
      <t>    </t>
    </r>
    <r>
      <rPr>
        <b/>
        <sz val="11"/>
        <color theme="1"/>
        <rFont val="Arial"/>
        <family val="2"/>
      </rPr>
      <t>50  </t>
    </r>
  </si>
  <si>
    <r>
      <t>  </t>
    </r>
    <r>
      <rPr>
        <b/>
        <sz val="11"/>
        <color theme="1"/>
        <rFont val="Arial"/>
        <family val="2"/>
      </rPr>
      <t>1.0337920731  </t>
    </r>
  </si>
  <si>
    <r>
      <t>    </t>
    </r>
    <r>
      <rPr>
        <b/>
        <sz val="11"/>
        <color theme="1"/>
        <rFont val="Arial"/>
        <family val="2"/>
      </rPr>
      <t>51  </t>
    </r>
  </si>
  <si>
    <r>
      <t>  </t>
    </r>
    <r>
      <rPr>
        <b/>
        <sz val="11"/>
        <color theme="1"/>
        <rFont val="Arial"/>
        <family val="2"/>
      </rPr>
      <t>1.0351630322  </t>
    </r>
  </si>
  <si>
    <r>
      <t>    </t>
    </r>
    <r>
      <rPr>
        <b/>
        <sz val="11"/>
        <color theme="1"/>
        <rFont val="Arial"/>
        <family val="2"/>
      </rPr>
      <t>52  </t>
    </r>
  </si>
  <si>
    <r>
      <t>  </t>
    </r>
    <r>
      <rPr>
        <b/>
        <sz val="11"/>
        <color theme="1"/>
        <rFont val="Arial"/>
        <family val="2"/>
      </rPr>
      <t>1.0365632421  </t>
    </r>
  </si>
  <si>
    <r>
      <t>    </t>
    </r>
    <r>
      <rPr>
        <b/>
        <sz val="11"/>
        <color theme="1"/>
        <rFont val="Arial"/>
        <family val="2"/>
      </rPr>
      <t>53  </t>
    </r>
  </si>
  <si>
    <r>
      <t>  </t>
    </r>
    <r>
      <rPr>
        <b/>
        <sz val="11"/>
        <color theme="1"/>
        <rFont val="Arial"/>
        <family val="2"/>
      </rPr>
      <t>1.0379928618  </t>
    </r>
  </si>
  <si>
    <r>
      <t>    </t>
    </r>
    <r>
      <rPr>
        <b/>
        <sz val="11"/>
        <color theme="1"/>
        <rFont val="Arial"/>
        <family val="2"/>
      </rPr>
      <t>54  </t>
    </r>
  </si>
  <si>
    <r>
      <t>  </t>
    </r>
    <r>
      <rPr>
        <b/>
        <sz val="11"/>
        <color theme="1"/>
        <rFont val="Arial"/>
        <family val="2"/>
      </rPr>
      <t>1.0394520537  </t>
    </r>
  </si>
  <si>
    <r>
      <t>    </t>
    </r>
    <r>
      <rPr>
        <b/>
        <sz val="11"/>
        <color theme="1"/>
        <rFont val="Arial"/>
        <family val="2"/>
      </rPr>
      <t>55  </t>
    </r>
  </si>
  <si>
    <r>
      <t>  </t>
    </r>
    <r>
      <rPr>
        <b/>
        <sz val="11"/>
        <color theme="1"/>
        <rFont val="Arial"/>
        <family val="2"/>
      </rPr>
      <t>1.0409409841  </t>
    </r>
  </si>
  <si>
    <r>
      <t>    </t>
    </r>
    <r>
      <rPr>
        <b/>
        <sz val="11"/>
        <color theme="1"/>
        <rFont val="Arial"/>
        <family val="2"/>
      </rPr>
      <t>56  </t>
    </r>
  </si>
  <si>
    <r>
      <t>  </t>
    </r>
    <r>
      <rPr>
        <b/>
        <sz val="11"/>
        <color theme="1"/>
        <rFont val="Arial"/>
        <family val="2"/>
      </rPr>
      <t>1.0424598231  </t>
    </r>
  </si>
  <si>
    <r>
      <t>    </t>
    </r>
    <r>
      <rPr>
        <b/>
        <sz val="11"/>
        <color theme="1"/>
        <rFont val="Arial"/>
        <family val="2"/>
      </rPr>
      <t>57  </t>
    </r>
  </si>
  <si>
    <r>
      <t>  </t>
    </r>
    <r>
      <rPr>
        <b/>
        <sz val="11"/>
        <color theme="1"/>
        <rFont val="Arial"/>
        <family val="2"/>
      </rPr>
      <t>1.0440087448  </t>
    </r>
  </si>
  <si>
    <r>
      <t>    </t>
    </r>
    <r>
      <rPr>
        <b/>
        <sz val="11"/>
        <color theme="1"/>
        <rFont val="Arial"/>
        <family val="2"/>
      </rPr>
      <t>58  </t>
    </r>
  </si>
  <si>
    <r>
      <t>  </t>
    </r>
    <r>
      <rPr>
        <b/>
        <sz val="11"/>
        <color theme="1"/>
        <rFont val="Arial"/>
        <family val="2"/>
      </rPr>
      <t>1.0455879268  </t>
    </r>
  </si>
  <si>
    <r>
      <t>    </t>
    </r>
    <r>
      <rPr>
        <b/>
        <sz val="11"/>
        <color theme="1"/>
        <rFont val="Arial"/>
        <family val="2"/>
      </rPr>
      <t>59  </t>
    </r>
  </si>
  <si>
    <r>
      <t>  </t>
    </r>
    <r>
      <rPr>
        <b/>
        <sz val="11"/>
        <color theme="1"/>
        <rFont val="Arial"/>
        <family val="2"/>
      </rPr>
      <t>1.0471975512  </t>
    </r>
  </si>
  <si>
    <r>
      <t>    </t>
    </r>
    <r>
      <rPr>
        <b/>
        <sz val="11"/>
        <color theme="1"/>
        <rFont val="Arial"/>
        <family val="2"/>
      </rPr>
      <t>60  </t>
    </r>
  </si>
  <si>
    <t>    Arc ÷ Chord   Ratio       Angle</t>
  </si>
  <si>
    <r>
      <t>  </t>
    </r>
    <r>
      <rPr>
        <b/>
        <sz val="11"/>
        <color theme="1"/>
        <rFont val="Arial"/>
        <family val="2"/>
      </rPr>
      <t>1.0488378036  </t>
    </r>
  </si>
  <si>
    <r>
      <t>    </t>
    </r>
    <r>
      <rPr>
        <b/>
        <sz val="11"/>
        <color theme="1"/>
        <rFont val="Arial"/>
        <family val="2"/>
      </rPr>
      <t>61  </t>
    </r>
  </si>
  <si>
    <r>
      <t>  </t>
    </r>
    <r>
      <rPr>
        <b/>
        <sz val="11"/>
        <color theme="1"/>
        <rFont val="Arial"/>
        <family val="2"/>
      </rPr>
      <t>1.050508874  </t>
    </r>
  </si>
  <si>
    <r>
      <t>    </t>
    </r>
    <r>
      <rPr>
        <b/>
        <sz val="11"/>
        <color theme="1"/>
        <rFont val="Arial"/>
        <family val="2"/>
      </rPr>
      <t>62  </t>
    </r>
  </si>
  <si>
    <r>
      <t>  </t>
    </r>
    <r>
      <rPr>
        <b/>
        <sz val="11"/>
        <color theme="1"/>
        <rFont val="Arial"/>
        <family val="2"/>
      </rPr>
      <t>1.0522109562  </t>
    </r>
  </si>
  <si>
    <r>
      <t>    </t>
    </r>
    <r>
      <rPr>
        <b/>
        <sz val="11"/>
        <color theme="1"/>
        <rFont val="Arial"/>
        <family val="2"/>
      </rPr>
      <t>63  </t>
    </r>
  </si>
  <si>
    <r>
      <t>  </t>
    </r>
    <r>
      <rPr>
        <b/>
        <sz val="11"/>
        <color theme="1"/>
        <rFont val="Arial"/>
        <family val="2"/>
      </rPr>
      <t>1.0539442484  </t>
    </r>
  </si>
  <si>
    <r>
      <t>    </t>
    </r>
    <r>
      <rPr>
        <b/>
        <sz val="11"/>
        <color theme="1"/>
        <rFont val="Arial"/>
        <family val="2"/>
      </rPr>
      <t>64  </t>
    </r>
  </si>
  <si>
    <r>
      <t>  </t>
    </r>
    <r>
      <rPr>
        <b/>
        <sz val="11"/>
        <color theme="1"/>
        <rFont val="Arial"/>
        <family val="2"/>
      </rPr>
      <t>1.0557089529  </t>
    </r>
  </si>
  <si>
    <r>
      <t>    </t>
    </r>
    <r>
      <rPr>
        <b/>
        <sz val="11"/>
        <color theme="1"/>
        <rFont val="Arial"/>
        <family val="2"/>
      </rPr>
      <t>65  </t>
    </r>
  </si>
  <si>
    <r>
      <t>  </t>
    </r>
    <r>
      <rPr>
        <b/>
        <sz val="11"/>
        <color theme="1"/>
        <rFont val="Arial"/>
        <family val="2"/>
      </rPr>
      <t>1.0575052762  </t>
    </r>
  </si>
  <si>
    <r>
      <t>    </t>
    </r>
    <r>
      <rPr>
        <b/>
        <sz val="11"/>
        <color theme="1"/>
        <rFont val="Arial"/>
        <family val="2"/>
      </rPr>
      <t>66  </t>
    </r>
  </si>
  <si>
    <r>
      <t>  </t>
    </r>
    <r>
      <rPr>
        <b/>
        <sz val="11"/>
        <color theme="1"/>
        <rFont val="Arial"/>
        <family val="2"/>
      </rPr>
      <t>1.0593334293  </t>
    </r>
  </si>
  <si>
    <r>
      <t>    </t>
    </r>
    <r>
      <rPr>
        <b/>
        <sz val="11"/>
        <color theme="1"/>
        <rFont val="Arial"/>
        <family val="2"/>
      </rPr>
      <t>67  </t>
    </r>
  </si>
  <si>
    <r>
      <t>  </t>
    </r>
    <r>
      <rPr>
        <b/>
        <sz val="11"/>
        <color theme="1"/>
        <rFont val="Arial"/>
        <family val="2"/>
      </rPr>
      <t>1.0611936274  </t>
    </r>
  </si>
  <si>
    <r>
      <t>    </t>
    </r>
    <r>
      <rPr>
        <b/>
        <sz val="11"/>
        <color theme="1"/>
        <rFont val="Arial"/>
        <family val="2"/>
      </rPr>
      <t>68  </t>
    </r>
  </si>
  <si>
    <r>
      <t>  </t>
    </r>
    <r>
      <rPr>
        <b/>
        <sz val="11"/>
        <color theme="1"/>
        <rFont val="Arial"/>
        <family val="2"/>
      </rPr>
      <t>1.0630860903  </t>
    </r>
  </si>
  <si>
    <r>
      <t>    </t>
    </r>
    <r>
      <rPr>
        <b/>
        <sz val="11"/>
        <color theme="1"/>
        <rFont val="Arial"/>
        <family val="2"/>
      </rPr>
      <t>69  </t>
    </r>
  </si>
  <si>
    <r>
      <t>  </t>
    </r>
    <r>
      <rPr>
        <b/>
        <sz val="11"/>
        <color theme="1"/>
        <rFont val="Arial"/>
        <family val="2"/>
      </rPr>
      <t>1.0650110421  </t>
    </r>
  </si>
  <si>
    <r>
      <t>    </t>
    </r>
    <r>
      <rPr>
        <b/>
        <sz val="11"/>
        <color theme="1"/>
        <rFont val="Arial"/>
        <family val="2"/>
      </rPr>
      <t>70  </t>
    </r>
  </si>
  <si>
    <r>
      <t>  </t>
    </r>
    <r>
      <rPr>
        <b/>
        <sz val="11"/>
        <color theme="1"/>
        <rFont val="Arial"/>
        <family val="2"/>
      </rPr>
      <t>1.0669687116  </t>
    </r>
  </si>
  <si>
    <r>
      <t>    </t>
    </r>
    <r>
      <rPr>
        <b/>
        <sz val="11"/>
        <color theme="1"/>
        <rFont val="Arial"/>
        <family val="2"/>
      </rPr>
      <t>71  </t>
    </r>
  </si>
  <si>
    <r>
      <t>  </t>
    </r>
    <r>
      <rPr>
        <b/>
        <sz val="11"/>
        <color theme="1"/>
        <rFont val="Arial"/>
        <family val="2"/>
      </rPr>
      <t>1.0689593321  </t>
    </r>
  </si>
  <si>
    <r>
      <t>    </t>
    </r>
    <r>
      <rPr>
        <b/>
        <sz val="11"/>
        <color theme="1"/>
        <rFont val="Arial"/>
        <family val="2"/>
      </rPr>
      <t>72  </t>
    </r>
  </si>
  <si>
    <r>
      <t>  </t>
    </r>
    <r>
      <rPr>
        <b/>
        <sz val="11"/>
        <color theme="1"/>
        <rFont val="Arial"/>
        <family val="2"/>
      </rPr>
      <t>1.0709831418  </t>
    </r>
  </si>
  <si>
    <r>
      <t>    </t>
    </r>
    <r>
      <rPr>
        <b/>
        <sz val="11"/>
        <color theme="1"/>
        <rFont val="Arial"/>
        <family val="2"/>
      </rPr>
      <t>73  </t>
    </r>
  </si>
  <si>
    <r>
      <t>  </t>
    </r>
    <r>
      <rPr>
        <b/>
        <sz val="11"/>
        <color theme="1"/>
        <rFont val="Arial"/>
        <family val="2"/>
      </rPr>
      <t>1.0730403835  </t>
    </r>
  </si>
  <si>
    <r>
      <t>    </t>
    </r>
    <r>
      <rPr>
        <b/>
        <sz val="11"/>
        <color theme="1"/>
        <rFont val="Arial"/>
        <family val="2"/>
      </rPr>
      <t>74  </t>
    </r>
  </si>
  <si>
    <r>
      <t>  </t>
    </r>
    <r>
      <rPr>
        <b/>
        <sz val="11"/>
        <color theme="1"/>
        <rFont val="Arial"/>
        <family val="2"/>
      </rPr>
      <t>1.0751313048  </t>
    </r>
  </si>
  <si>
    <r>
      <t>    </t>
    </r>
    <r>
      <rPr>
        <b/>
        <sz val="11"/>
        <color theme="1"/>
        <rFont val="Arial"/>
        <family val="2"/>
      </rPr>
      <t>75  </t>
    </r>
  </si>
  <si>
    <r>
      <t>  </t>
    </r>
    <r>
      <rPr>
        <b/>
        <sz val="11"/>
        <color theme="1"/>
        <rFont val="Arial"/>
        <family val="2"/>
      </rPr>
      <t>1.0772561584  </t>
    </r>
  </si>
  <si>
    <r>
      <t>    </t>
    </r>
    <r>
      <rPr>
        <b/>
        <sz val="11"/>
        <color theme="1"/>
        <rFont val="Arial"/>
        <family val="2"/>
      </rPr>
      <t>76  </t>
    </r>
  </si>
  <si>
    <r>
      <t>  </t>
    </r>
    <r>
      <rPr>
        <b/>
        <sz val="11"/>
        <color theme="1"/>
        <rFont val="Arial"/>
        <family val="2"/>
      </rPr>
      <t>1.0794152016  </t>
    </r>
  </si>
  <si>
    <r>
      <t>    </t>
    </r>
    <r>
      <rPr>
        <b/>
        <sz val="11"/>
        <color theme="1"/>
        <rFont val="Arial"/>
        <family val="2"/>
      </rPr>
      <t>77  </t>
    </r>
  </si>
  <si>
    <r>
      <t>  </t>
    </r>
    <r>
      <rPr>
        <b/>
        <sz val="11"/>
        <color theme="1"/>
        <rFont val="Arial"/>
        <family val="2"/>
      </rPr>
      <t>1.0816086972  </t>
    </r>
  </si>
  <si>
    <r>
      <t>    </t>
    </r>
    <r>
      <rPr>
        <b/>
        <sz val="11"/>
        <color theme="1"/>
        <rFont val="Arial"/>
        <family val="2"/>
      </rPr>
      <t>78  </t>
    </r>
  </si>
  <si>
    <r>
      <t>  </t>
    </r>
    <r>
      <rPr>
        <b/>
        <sz val="11"/>
        <color theme="1"/>
        <rFont val="Arial"/>
        <family val="2"/>
      </rPr>
      <t>1.0838369128  </t>
    </r>
  </si>
  <si>
    <r>
      <t>    </t>
    </r>
    <r>
      <rPr>
        <b/>
        <sz val="11"/>
        <color theme="1"/>
        <rFont val="Arial"/>
        <family val="2"/>
      </rPr>
      <t>79  </t>
    </r>
  </si>
  <si>
    <r>
      <t>  </t>
    </r>
    <r>
      <rPr>
        <b/>
        <sz val="11"/>
        <color theme="1"/>
        <rFont val="Arial"/>
        <family val="2"/>
      </rPr>
      <t>1.0861001212  </t>
    </r>
  </si>
  <si>
    <r>
      <t>    </t>
    </r>
    <r>
      <rPr>
        <b/>
        <sz val="11"/>
        <color theme="1"/>
        <rFont val="Arial"/>
        <family val="2"/>
      </rPr>
      <t>80  </t>
    </r>
  </si>
  <si>
    <r>
      <t>  </t>
    </r>
    <r>
      <rPr>
        <b/>
        <sz val="11"/>
        <color theme="1"/>
        <rFont val="Arial"/>
        <family val="2"/>
      </rPr>
      <t>1.0883986007  </t>
    </r>
  </si>
  <si>
    <r>
      <t>    </t>
    </r>
    <r>
      <rPr>
        <b/>
        <sz val="11"/>
        <color theme="1"/>
        <rFont val="Arial"/>
        <family val="2"/>
      </rPr>
      <t>81  </t>
    </r>
  </si>
  <si>
    <r>
      <t>  </t>
    </r>
    <r>
      <rPr>
        <b/>
        <sz val="11"/>
        <color theme="1"/>
        <rFont val="Arial"/>
        <family val="2"/>
      </rPr>
      <t>1.0907326349  </t>
    </r>
  </si>
  <si>
    <r>
      <t>    </t>
    </r>
    <r>
      <rPr>
        <b/>
        <sz val="11"/>
        <color theme="1"/>
        <rFont val="Arial"/>
        <family val="2"/>
      </rPr>
      <t>82  </t>
    </r>
  </si>
  <si>
    <r>
      <t>  </t>
    </r>
    <r>
      <rPr>
        <b/>
        <sz val="11"/>
        <color theme="1"/>
        <rFont val="Arial"/>
        <family val="2"/>
      </rPr>
      <t>1.0931025126  </t>
    </r>
  </si>
  <si>
    <r>
      <t>    </t>
    </r>
    <r>
      <rPr>
        <b/>
        <sz val="11"/>
        <color theme="1"/>
        <rFont val="Arial"/>
        <family val="2"/>
      </rPr>
      <t>83  </t>
    </r>
  </si>
  <si>
    <r>
      <t>  </t>
    </r>
    <r>
      <rPr>
        <b/>
        <sz val="11"/>
        <color theme="1"/>
        <rFont val="Arial"/>
        <family val="2"/>
      </rPr>
      <t>1.0955085283  </t>
    </r>
  </si>
  <si>
    <r>
      <t>    </t>
    </r>
    <r>
      <rPr>
        <b/>
        <sz val="11"/>
        <color theme="1"/>
        <rFont val="Arial"/>
        <family val="2"/>
      </rPr>
      <t>84  </t>
    </r>
  </si>
  <si>
    <r>
      <t>  </t>
    </r>
    <r>
      <rPr>
        <b/>
        <sz val="11"/>
        <color theme="1"/>
        <rFont val="Arial"/>
        <family val="2"/>
      </rPr>
      <t>1.0979509823  </t>
    </r>
  </si>
  <si>
    <r>
      <t>    </t>
    </r>
    <r>
      <rPr>
        <b/>
        <sz val="11"/>
        <color theme="1"/>
        <rFont val="Arial"/>
        <family val="2"/>
      </rPr>
      <t>85  </t>
    </r>
  </si>
  <si>
    <r>
      <t>  </t>
    </r>
    <r>
      <rPr>
        <b/>
        <sz val="11"/>
        <color theme="1"/>
        <rFont val="Arial"/>
        <family val="2"/>
      </rPr>
      <t>1.1004301803  </t>
    </r>
  </si>
  <si>
    <r>
      <t>    </t>
    </r>
    <r>
      <rPr>
        <b/>
        <sz val="11"/>
        <color theme="1"/>
        <rFont val="Arial"/>
        <family val="2"/>
      </rPr>
      <t>86  </t>
    </r>
  </si>
  <si>
    <r>
      <t>  </t>
    </r>
    <r>
      <rPr>
        <b/>
        <sz val="11"/>
        <color theme="1"/>
        <rFont val="Arial"/>
        <family val="2"/>
      </rPr>
      <t>1.102946434  </t>
    </r>
  </si>
  <si>
    <r>
      <t>    </t>
    </r>
    <r>
      <rPr>
        <b/>
        <sz val="11"/>
        <color theme="1"/>
        <rFont val="Arial"/>
        <family val="2"/>
      </rPr>
      <t>87  </t>
    </r>
  </si>
  <si>
    <r>
      <t>  </t>
    </r>
    <r>
      <rPr>
        <b/>
        <sz val="11"/>
        <color theme="1"/>
        <rFont val="Arial"/>
        <family val="2"/>
      </rPr>
      <t>1.1055000609  </t>
    </r>
  </si>
  <si>
    <r>
      <t>    </t>
    </r>
    <r>
      <rPr>
        <b/>
        <sz val="11"/>
        <color theme="1"/>
        <rFont val="Arial"/>
        <family val="2"/>
      </rPr>
      <t>88  </t>
    </r>
  </si>
  <si>
    <r>
      <t>  </t>
    </r>
    <r>
      <rPr>
        <b/>
        <sz val="11"/>
        <color theme="1"/>
        <rFont val="Arial"/>
        <family val="2"/>
      </rPr>
      <t>1.1080913846  </t>
    </r>
  </si>
  <si>
    <r>
      <t>    </t>
    </r>
    <r>
      <rPr>
        <b/>
        <sz val="11"/>
        <color theme="1"/>
        <rFont val="Arial"/>
        <family val="2"/>
      </rPr>
      <t>89  </t>
    </r>
  </si>
  <si>
    <r>
      <t>  </t>
    </r>
    <r>
      <rPr>
        <b/>
        <sz val="11"/>
        <color theme="1"/>
        <rFont val="Arial"/>
        <family val="2"/>
      </rPr>
      <t>1.1107207345  </t>
    </r>
  </si>
  <si>
    <r>
      <t>    </t>
    </r>
    <r>
      <rPr>
        <b/>
        <sz val="11"/>
        <color theme="1"/>
        <rFont val="Arial"/>
        <family val="2"/>
      </rPr>
      <t>90  </t>
    </r>
  </si>
  <si>
    <r>
      <t>  </t>
    </r>
    <r>
      <rPr>
        <b/>
        <sz val="11"/>
        <color theme="1"/>
        <rFont val="Arial"/>
        <family val="2"/>
      </rPr>
      <t>1.1133884467  </t>
    </r>
  </si>
  <si>
    <r>
      <t>    </t>
    </r>
    <r>
      <rPr>
        <b/>
        <sz val="11"/>
        <color theme="1"/>
        <rFont val="Arial"/>
        <family val="2"/>
      </rPr>
      <t>91  </t>
    </r>
  </si>
  <si>
    <r>
      <t>  </t>
    </r>
    <r>
      <rPr>
        <b/>
        <sz val="11"/>
        <color theme="1"/>
        <rFont val="Arial"/>
        <family val="2"/>
      </rPr>
      <t>1.116094863  </t>
    </r>
  </si>
  <si>
    <r>
      <t>    </t>
    </r>
    <r>
      <rPr>
        <b/>
        <sz val="11"/>
        <color theme="1"/>
        <rFont val="Arial"/>
        <family val="2"/>
      </rPr>
      <t>92  </t>
    </r>
  </si>
  <si>
    <r>
      <t>  </t>
    </r>
    <r>
      <rPr>
        <b/>
        <sz val="11"/>
        <color theme="1"/>
        <rFont val="Arial"/>
        <family val="2"/>
      </rPr>
      <t>1.1188403321  </t>
    </r>
  </si>
  <si>
    <r>
      <t>    </t>
    </r>
    <r>
      <rPr>
        <b/>
        <sz val="11"/>
        <color theme="1"/>
        <rFont val="Arial"/>
        <family val="2"/>
      </rPr>
      <t>93  </t>
    </r>
  </si>
  <si>
    <r>
      <t>  </t>
    </r>
    <r>
      <rPr>
        <b/>
        <sz val="11"/>
        <color theme="1"/>
        <rFont val="Arial"/>
        <family val="2"/>
      </rPr>
      <t>1.121625209  </t>
    </r>
  </si>
  <si>
    <r>
      <t>    </t>
    </r>
    <r>
      <rPr>
        <b/>
        <sz val="11"/>
        <color theme="1"/>
        <rFont val="Arial"/>
        <family val="2"/>
      </rPr>
      <t>94  </t>
    </r>
  </si>
  <si>
    <r>
      <t>  </t>
    </r>
    <r>
      <rPr>
        <b/>
        <sz val="11"/>
        <color theme="1"/>
        <rFont val="Arial"/>
        <family val="2"/>
      </rPr>
      <t>1.1244498553  </t>
    </r>
  </si>
  <si>
    <r>
      <t>    </t>
    </r>
    <r>
      <rPr>
        <b/>
        <sz val="11"/>
        <color theme="1"/>
        <rFont val="Arial"/>
        <family val="2"/>
      </rPr>
      <t>95  </t>
    </r>
  </si>
  <si>
    <r>
      <t>  </t>
    </r>
    <r>
      <rPr>
        <b/>
        <sz val="11"/>
        <color theme="1"/>
        <rFont val="Arial"/>
        <family val="2"/>
      </rPr>
      <t>1.1273146394  </t>
    </r>
  </si>
  <si>
    <r>
      <t>    </t>
    </r>
    <r>
      <rPr>
        <b/>
        <sz val="11"/>
        <color theme="1"/>
        <rFont val="Arial"/>
        <family val="2"/>
      </rPr>
      <t>96  </t>
    </r>
  </si>
  <si>
    <r>
      <t>  </t>
    </r>
    <r>
      <rPr>
        <b/>
        <sz val="11"/>
        <color theme="1"/>
        <rFont val="Arial"/>
        <family val="2"/>
      </rPr>
      <t>1.1302199365  </t>
    </r>
  </si>
  <si>
    <r>
      <t>    </t>
    </r>
    <r>
      <rPr>
        <b/>
        <sz val="11"/>
        <color theme="1"/>
        <rFont val="Arial"/>
        <family val="2"/>
      </rPr>
      <t>97  </t>
    </r>
  </si>
  <si>
    <r>
      <t>  </t>
    </r>
    <r>
      <rPr>
        <b/>
        <sz val="11"/>
        <color theme="1"/>
        <rFont val="Arial"/>
        <family val="2"/>
      </rPr>
      <t>1.1331661289  </t>
    </r>
  </si>
  <si>
    <r>
      <t>    </t>
    </r>
    <r>
      <rPr>
        <b/>
        <sz val="11"/>
        <color theme="1"/>
        <rFont val="Arial"/>
        <family val="2"/>
      </rPr>
      <t>98  </t>
    </r>
  </si>
  <si>
    <r>
      <t>  </t>
    </r>
    <r>
      <rPr>
        <b/>
        <sz val="11"/>
        <color theme="1"/>
        <rFont val="Arial"/>
        <family val="2"/>
      </rPr>
      <t>1.1361536059  </t>
    </r>
  </si>
  <si>
    <r>
      <t>    </t>
    </r>
    <r>
      <rPr>
        <b/>
        <sz val="11"/>
        <color theme="1"/>
        <rFont val="Arial"/>
        <family val="2"/>
      </rPr>
      <t>99  </t>
    </r>
  </si>
  <si>
    <r>
      <t>  </t>
    </r>
    <r>
      <rPr>
        <b/>
        <sz val="11"/>
        <color theme="1"/>
        <rFont val="Arial"/>
        <family val="2"/>
      </rPr>
      <t>1.1391827639  </t>
    </r>
  </si>
  <si>
    <r>
      <t>  </t>
    </r>
    <r>
      <rPr>
        <b/>
        <sz val="11"/>
        <color theme="1"/>
        <rFont val="Arial"/>
        <family val="2"/>
      </rPr>
      <t>100  </t>
    </r>
  </si>
  <si>
    <r>
      <t>  </t>
    </r>
    <r>
      <rPr>
        <b/>
        <sz val="11"/>
        <color theme="1"/>
        <rFont val="Arial"/>
        <family val="2"/>
      </rPr>
      <t>1.142254007  </t>
    </r>
  </si>
  <si>
    <r>
      <t>  </t>
    </r>
    <r>
      <rPr>
        <b/>
        <sz val="11"/>
        <color theme="1"/>
        <rFont val="Arial"/>
        <family val="2"/>
      </rPr>
      <t>101  </t>
    </r>
  </si>
  <si>
    <r>
      <t>  </t>
    </r>
    <r>
      <rPr>
        <b/>
        <sz val="11"/>
        <color theme="1"/>
        <rFont val="Arial"/>
        <family val="2"/>
      </rPr>
      <t>1.1453677464  </t>
    </r>
  </si>
  <si>
    <r>
      <t>  </t>
    </r>
    <r>
      <rPr>
        <b/>
        <sz val="11"/>
        <color theme="1"/>
        <rFont val="Arial"/>
        <family val="2"/>
      </rPr>
      <t>102  </t>
    </r>
  </si>
  <si>
    <r>
      <t>  </t>
    </r>
    <r>
      <rPr>
        <b/>
        <sz val="11"/>
        <color theme="1"/>
        <rFont val="Arial"/>
        <family val="2"/>
      </rPr>
      <t>1.1485244013  </t>
    </r>
  </si>
  <si>
    <r>
      <t>  </t>
    </r>
    <r>
      <rPr>
        <b/>
        <sz val="11"/>
        <color theme="1"/>
        <rFont val="Arial"/>
        <family val="2"/>
      </rPr>
      <t>103  </t>
    </r>
  </si>
  <si>
    <r>
      <t>  </t>
    </r>
    <r>
      <rPr>
        <b/>
        <sz val="11"/>
        <color theme="1"/>
        <rFont val="Arial"/>
        <family val="2"/>
      </rPr>
      <t>1.1517243983  </t>
    </r>
  </si>
  <si>
    <r>
      <t>  </t>
    </r>
    <r>
      <rPr>
        <b/>
        <sz val="11"/>
        <color theme="1"/>
        <rFont val="Arial"/>
        <family val="2"/>
      </rPr>
      <t>104  </t>
    </r>
  </si>
  <si>
    <r>
      <t>  </t>
    </r>
    <r>
      <rPr>
        <b/>
        <sz val="11"/>
        <color theme="1"/>
        <rFont val="Arial"/>
        <family val="2"/>
      </rPr>
      <t>1.1549681721  </t>
    </r>
  </si>
  <si>
    <r>
      <t>  </t>
    </r>
    <r>
      <rPr>
        <b/>
        <sz val="11"/>
        <color theme="1"/>
        <rFont val="Arial"/>
        <family val="2"/>
      </rPr>
      <t>105  </t>
    </r>
  </si>
  <si>
    <r>
      <t>  </t>
    </r>
    <r>
      <rPr>
        <b/>
        <sz val="11"/>
        <color theme="1"/>
        <rFont val="Arial"/>
        <family val="2"/>
      </rPr>
      <t>1.1582561656  </t>
    </r>
  </si>
  <si>
    <r>
      <t>  </t>
    </r>
    <r>
      <rPr>
        <b/>
        <sz val="11"/>
        <color theme="1"/>
        <rFont val="Arial"/>
        <family val="2"/>
      </rPr>
      <t>106  </t>
    </r>
  </si>
  <si>
    <r>
      <t>  </t>
    </r>
    <r>
      <rPr>
        <b/>
        <sz val="11"/>
        <color theme="1"/>
        <rFont val="Arial"/>
        <family val="2"/>
      </rPr>
      <t>1.1615888295  </t>
    </r>
  </si>
  <si>
    <r>
      <t>  </t>
    </r>
    <r>
      <rPr>
        <b/>
        <sz val="11"/>
        <color theme="1"/>
        <rFont val="Arial"/>
        <family val="2"/>
      </rPr>
      <t>107  </t>
    </r>
  </si>
  <si>
    <r>
      <t>  </t>
    </r>
    <r>
      <rPr>
        <b/>
        <sz val="11"/>
        <color theme="1"/>
        <rFont val="Arial"/>
        <family val="2"/>
      </rPr>
      <t>1.1649666232  </t>
    </r>
  </si>
  <si>
    <r>
      <t>  </t>
    </r>
    <r>
      <rPr>
        <b/>
        <sz val="11"/>
        <color theme="1"/>
        <rFont val="Arial"/>
        <family val="2"/>
      </rPr>
      <t>108  </t>
    </r>
  </si>
  <si>
    <r>
      <t>  </t>
    </r>
    <r>
      <rPr>
        <b/>
        <sz val="11"/>
        <color theme="1"/>
        <rFont val="Arial"/>
        <family val="2"/>
      </rPr>
      <t>1.1683900145  </t>
    </r>
  </si>
  <si>
    <r>
      <t>  </t>
    </r>
    <r>
      <rPr>
        <b/>
        <sz val="11"/>
        <color theme="1"/>
        <rFont val="Arial"/>
        <family val="2"/>
      </rPr>
      <t>109  </t>
    </r>
  </si>
  <si>
    <r>
      <t>  </t>
    </r>
    <r>
      <rPr>
        <b/>
        <sz val="11"/>
        <color theme="1"/>
        <rFont val="Arial"/>
        <family val="2"/>
      </rPr>
      <t>1.1718594799  </t>
    </r>
  </si>
  <si>
    <r>
      <t>  </t>
    </r>
    <r>
      <rPr>
        <b/>
        <sz val="11"/>
        <color theme="1"/>
        <rFont val="Arial"/>
        <family val="2"/>
      </rPr>
      <t>110  </t>
    </r>
  </si>
  <si>
    <r>
      <t>  </t>
    </r>
    <r>
      <rPr>
        <b/>
        <sz val="11"/>
        <color theme="1"/>
        <rFont val="Arial"/>
        <family val="2"/>
      </rPr>
      <t>1.1753755047  </t>
    </r>
  </si>
  <si>
    <r>
      <t>  </t>
    </r>
    <r>
      <rPr>
        <b/>
        <sz val="11"/>
        <color theme="1"/>
        <rFont val="Arial"/>
        <family val="2"/>
      </rPr>
      <t>111  </t>
    </r>
  </si>
  <si>
    <r>
      <t>  </t>
    </r>
    <r>
      <rPr>
        <b/>
        <sz val="11"/>
        <color theme="1"/>
        <rFont val="Arial"/>
        <family val="2"/>
      </rPr>
      <t>1.1789385831  </t>
    </r>
  </si>
  <si>
    <r>
      <t>  </t>
    </r>
    <r>
      <rPr>
        <b/>
        <sz val="11"/>
        <color theme="1"/>
        <rFont val="Arial"/>
        <family val="2"/>
      </rPr>
      <t>112  </t>
    </r>
  </si>
  <si>
    <r>
      <t>  </t>
    </r>
    <r>
      <rPr>
        <b/>
        <sz val="11"/>
        <color theme="1"/>
        <rFont val="Arial"/>
        <family val="2"/>
      </rPr>
      <t>1.1825492187  </t>
    </r>
  </si>
  <si>
    <r>
      <t>  </t>
    </r>
    <r>
      <rPr>
        <b/>
        <sz val="11"/>
        <color theme="1"/>
        <rFont val="Arial"/>
        <family val="2"/>
      </rPr>
      <t>113  </t>
    </r>
  </si>
  <si>
    <r>
      <t>  </t>
    </r>
    <r>
      <rPr>
        <b/>
        <sz val="11"/>
        <color theme="1"/>
        <rFont val="Arial"/>
        <family val="2"/>
      </rPr>
      <t>1.1862079244  </t>
    </r>
  </si>
  <si>
    <r>
      <t>  </t>
    </r>
    <r>
      <rPr>
        <b/>
        <sz val="11"/>
        <color theme="1"/>
        <rFont val="Arial"/>
        <family val="2"/>
      </rPr>
      <t>114  </t>
    </r>
  </si>
  <si>
    <r>
      <t>  </t>
    </r>
    <r>
      <rPr>
        <b/>
        <sz val="11"/>
        <color theme="1"/>
        <rFont val="Arial"/>
        <family val="2"/>
      </rPr>
      <t>1.1899152225  </t>
    </r>
  </si>
  <si>
    <r>
      <t>  </t>
    </r>
    <r>
      <rPr>
        <b/>
        <sz val="11"/>
        <color theme="1"/>
        <rFont val="Arial"/>
        <family val="2"/>
      </rPr>
      <t>115  </t>
    </r>
  </si>
  <si>
    <r>
      <t>  </t>
    </r>
    <r>
      <rPr>
        <b/>
        <sz val="11"/>
        <color theme="1"/>
        <rFont val="Arial"/>
        <family val="2"/>
      </rPr>
      <t>1.1936716452  </t>
    </r>
  </si>
  <si>
    <r>
      <t>  </t>
    </r>
    <r>
      <rPr>
        <b/>
        <sz val="11"/>
        <color theme="1"/>
        <rFont val="Arial"/>
        <family val="2"/>
      </rPr>
      <t>116  </t>
    </r>
  </si>
  <si>
    <r>
      <t>  </t>
    </r>
    <r>
      <rPr>
        <b/>
        <sz val="11"/>
        <color theme="1"/>
        <rFont val="Arial"/>
        <family val="2"/>
      </rPr>
      <t>1.1974777346  </t>
    </r>
  </si>
  <si>
    <r>
      <t>  </t>
    </r>
    <r>
      <rPr>
        <b/>
        <sz val="11"/>
        <color theme="1"/>
        <rFont val="Arial"/>
        <family val="2"/>
      </rPr>
      <t>117  </t>
    </r>
  </si>
  <si>
    <r>
      <t>  </t>
    </r>
    <r>
      <rPr>
        <b/>
        <sz val="11"/>
        <color theme="1"/>
        <rFont val="Arial"/>
        <family val="2"/>
      </rPr>
      <t>1.2013340428  </t>
    </r>
  </si>
  <si>
    <r>
      <t>  </t>
    </r>
    <r>
      <rPr>
        <b/>
        <sz val="11"/>
        <color theme="1"/>
        <rFont val="Arial"/>
        <family val="2"/>
      </rPr>
      <t>118  </t>
    </r>
  </si>
  <si>
    <r>
      <t>  </t>
    </r>
    <r>
      <rPr>
        <b/>
        <sz val="11"/>
        <color theme="1"/>
        <rFont val="Arial"/>
        <family val="2"/>
      </rPr>
      <t>1.2052411323  </t>
    </r>
  </si>
  <si>
    <r>
      <t>  </t>
    </r>
    <r>
      <rPr>
        <b/>
        <sz val="11"/>
        <color theme="1"/>
        <rFont val="Arial"/>
        <family val="2"/>
      </rPr>
      <t>119  </t>
    </r>
  </si>
  <si>
    <r>
      <t>  </t>
    </r>
    <r>
      <rPr>
        <b/>
        <sz val="11"/>
        <color theme="1"/>
        <rFont val="Arial"/>
        <family val="2"/>
      </rPr>
      <t>1.2091995762  </t>
    </r>
  </si>
  <si>
    <r>
      <t>  </t>
    </r>
    <r>
      <rPr>
        <b/>
        <sz val="11"/>
        <color theme="1"/>
        <rFont val="Arial"/>
        <family val="2"/>
      </rPr>
      <t>120  </t>
    </r>
  </si>
  <si>
    <r>
      <t>  </t>
    </r>
    <r>
      <rPr>
        <b/>
        <sz val="11"/>
        <color theme="1"/>
        <rFont val="Arial"/>
        <family val="2"/>
      </rPr>
      <t>1.2132099582  </t>
    </r>
  </si>
  <si>
    <r>
      <t>  </t>
    </r>
    <r>
      <rPr>
        <b/>
        <sz val="11"/>
        <color theme="1"/>
        <rFont val="Arial"/>
        <family val="2"/>
      </rPr>
      <t>121  </t>
    </r>
  </si>
  <si>
    <r>
      <t>  </t>
    </r>
    <r>
      <rPr>
        <b/>
        <sz val="11"/>
        <color theme="1"/>
        <rFont val="Arial"/>
        <family val="2"/>
      </rPr>
      <t>1.217272873  </t>
    </r>
  </si>
  <si>
    <r>
      <t>  </t>
    </r>
    <r>
      <rPr>
        <b/>
        <sz val="11"/>
        <color theme="1"/>
        <rFont val="Arial"/>
        <family val="2"/>
      </rPr>
      <t>122  </t>
    </r>
  </si>
  <si>
    <r>
      <t>  </t>
    </r>
    <r>
      <rPr>
        <b/>
        <sz val="11"/>
        <color theme="1"/>
        <rFont val="Arial"/>
        <family val="2"/>
      </rPr>
      <t>1.2213889267  </t>
    </r>
  </si>
  <si>
    <r>
      <t>  </t>
    </r>
    <r>
      <rPr>
        <b/>
        <sz val="11"/>
        <color theme="1"/>
        <rFont val="Arial"/>
        <family val="2"/>
      </rPr>
      <t>123  </t>
    </r>
  </si>
  <si>
    <r>
      <t>  </t>
    </r>
    <r>
      <rPr>
        <b/>
        <sz val="11"/>
        <color theme="1"/>
        <rFont val="Arial"/>
        <family val="2"/>
      </rPr>
      <t>1.2255587364  </t>
    </r>
  </si>
  <si>
    <r>
      <t>  </t>
    </r>
    <r>
      <rPr>
        <b/>
        <sz val="11"/>
        <color theme="1"/>
        <rFont val="Arial"/>
        <family val="2"/>
      </rPr>
      <t>124  </t>
    </r>
  </si>
  <si>
    <r>
      <t>  </t>
    </r>
    <r>
      <rPr>
        <b/>
        <sz val="11"/>
        <color theme="1"/>
        <rFont val="Arial"/>
        <family val="2"/>
      </rPr>
      <t>1.2297829313  </t>
    </r>
  </si>
  <si>
    <r>
      <t>  </t>
    </r>
    <r>
      <rPr>
        <b/>
        <sz val="11"/>
        <color theme="1"/>
        <rFont val="Arial"/>
        <family val="2"/>
      </rPr>
      <t>125  </t>
    </r>
  </si>
  <si>
    <r>
      <t>  </t>
    </r>
    <r>
      <rPr>
        <b/>
        <sz val="11"/>
        <color theme="1"/>
        <rFont val="Arial"/>
        <family val="2"/>
      </rPr>
      <t>1.2340621521  </t>
    </r>
  </si>
  <si>
    <r>
      <t>  </t>
    </r>
    <r>
      <rPr>
        <b/>
        <sz val="11"/>
        <color theme="1"/>
        <rFont val="Arial"/>
        <family val="2"/>
      </rPr>
      <t>126  </t>
    </r>
  </si>
  <si>
    <r>
      <t>  </t>
    </r>
    <r>
      <rPr>
        <b/>
        <sz val="11"/>
        <color theme="1"/>
        <rFont val="Arial"/>
        <family val="2"/>
      </rPr>
      <t>1.2383970519  </t>
    </r>
  </si>
  <si>
    <r>
      <t>  </t>
    </r>
    <r>
      <rPr>
        <b/>
        <sz val="11"/>
        <color theme="1"/>
        <rFont val="Arial"/>
        <family val="2"/>
      </rPr>
      <t>127  </t>
    </r>
  </si>
  <si>
    <r>
      <t>  </t>
    </r>
    <r>
      <rPr>
        <b/>
        <sz val="11"/>
        <color theme="1"/>
        <rFont val="Arial"/>
        <family val="2"/>
      </rPr>
      <t>1.242788296  </t>
    </r>
  </si>
  <si>
    <r>
      <t>  </t>
    </r>
    <r>
      <rPr>
        <b/>
        <sz val="11"/>
        <color theme="1"/>
        <rFont val="Arial"/>
        <family val="2"/>
      </rPr>
      <t>128  </t>
    </r>
  </si>
  <si>
    <r>
      <t>  </t>
    </r>
    <r>
      <rPr>
        <b/>
        <sz val="11"/>
        <color theme="1"/>
        <rFont val="Arial"/>
        <family val="2"/>
      </rPr>
      <t>1.2472365626  </t>
    </r>
  </si>
  <si>
    <r>
      <t>  </t>
    </r>
    <r>
      <rPr>
        <b/>
        <sz val="11"/>
        <color theme="1"/>
        <rFont val="Arial"/>
        <family val="2"/>
      </rPr>
      <t>129  </t>
    </r>
  </si>
  <si>
    <r>
      <t>  </t>
    </r>
    <r>
      <rPr>
        <b/>
        <sz val="11"/>
        <color theme="1"/>
        <rFont val="Arial"/>
        <family val="2"/>
      </rPr>
      <t>1.2517425427  </t>
    </r>
  </si>
  <si>
    <r>
      <t>  </t>
    </r>
    <r>
      <rPr>
        <b/>
        <sz val="11"/>
        <color theme="1"/>
        <rFont val="Arial"/>
        <family val="2"/>
      </rPr>
      <t>130  </t>
    </r>
  </si>
  <si>
    <r>
      <t>  </t>
    </r>
    <r>
      <rPr>
        <b/>
        <sz val="11"/>
        <color theme="1"/>
        <rFont val="Arial"/>
        <family val="2"/>
      </rPr>
      <t>1.2563069404  </t>
    </r>
  </si>
  <si>
    <r>
      <t>  </t>
    </r>
    <r>
      <rPr>
        <b/>
        <sz val="11"/>
        <color theme="1"/>
        <rFont val="Arial"/>
        <family val="2"/>
      </rPr>
      <t>131  </t>
    </r>
  </si>
  <si>
    <r>
      <t>  </t>
    </r>
    <r>
      <rPr>
        <b/>
        <sz val="11"/>
        <color theme="1"/>
        <rFont val="Arial"/>
        <family val="2"/>
      </rPr>
      <t>1.2609304733  </t>
    </r>
  </si>
  <si>
    <r>
      <t>  </t>
    </r>
    <r>
      <rPr>
        <b/>
        <sz val="11"/>
        <color theme="1"/>
        <rFont val="Arial"/>
        <family val="2"/>
      </rPr>
      <t>132  </t>
    </r>
  </si>
  <si>
    <r>
      <t>  </t>
    </r>
    <r>
      <rPr>
        <b/>
        <sz val="11"/>
        <color theme="1"/>
        <rFont val="Arial"/>
        <family val="2"/>
      </rPr>
      <t>1.2656138731  </t>
    </r>
  </si>
  <si>
    <r>
      <t>  </t>
    </r>
    <r>
      <rPr>
        <b/>
        <sz val="11"/>
        <color theme="1"/>
        <rFont val="Arial"/>
        <family val="2"/>
      </rPr>
      <t>133  </t>
    </r>
  </si>
  <si>
    <r>
      <t>  </t>
    </r>
    <r>
      <rPr>
        <b/>
        <sz val="11"/>
        <color theme="1"/>
        <rFont val="Arial"/>
        <family val="2"/>
      </rPr>
      <t>1.2703578851  </t>
    </r>
  </si>
  <si>
    <r>
      <t>  </t>
    </r>
    <r>
      <rPr>
        <b/>
        <sz val="11"/>
        <color theme="1"/>
        <rFont val="Arial"/>
        <family val="2"/>
      </rPr>
      <t>134  </t>
    </r>
  </si>
  <si>
    <r>
      <t>  </t>
    </r>
    <r>
      <rPr>
        <b/>
        <sz val="11"/>
        <color theme="1"/>
        <rFont val="Arial"/>
        <family val="2"/>
      </rPr>
      <t>1.2751632693  </t>
    </r>
  </si>
  <si>
    <r>
      <t>  </t>
    </r>
    <r>
      <rPr>
        <b/>
        <sz val="11"/>
        <color theme="1"/>
        <rFont val="Arial"/>
        <family val="2"/>
      </rPr>
      <t>135  </t>
    </r>
  </si>
  <si>
    <r>
      <t>  </t>
    </r>
    <r>
      <rPr>
        <b/>
        <sz val="11"/>
        <color theme="1"/>
        <rFont val="Arial"/>
        <family val="2"/>
      </rPr>
      <t>1.2800308003  </t>
    </r>
  </si>
  <si>
    <r>
      <t>  </t>
    </r>
    <r>
      <rPr>
        <b/>
        <sz val="11"/>
        <color theme="1"/>
        <rFont val="Arial"/>
        <family val="2"/>
      </rPr>
      <t>136  </t>
    </r>
  </si>
  <si>
    <r>
      <t>  </t>
    </r>
    <r>
      <rPr>
        <b/>
        <sz val="11"/>
        <color theme="1"/>
        <rFont val="Arial"/>
        <family val="2"/>
      </rPr>
      <t>1.2849612677  </t>
    </r>
  </si>
  <si>
    <r>
      <t>  </t>
    </r>
    <r>
      <rPr>
        <b/>
        <sz val="11"/>
        <color theme="1"/>
        <rFont val="Arial"/>
        <family val="2"/>
      </rPr>
      <t>137  </t>
    </r>
  </si>
  <si>
    <r>
      <t>  </t>
    </r>
    <r>
      <rPr>
        <b/>
        <sz val="11"/>
        <color theme="1"/>
        <rFont val="Arial"/>
        <family val="2"/>
      </rPr>
      <t>1.2899554765  </t>
    </r>
  </si>
  <si>
    <r>
      <t>  </t>
    </r>
    <r>
      <rPr>
        <b/>
        <sz val="11"/>
        <color theme="1"/>
        <rFont val="Arial"/>
        <family val="2"/>
      </rPr>
      <t>138  </t>
    </r>
  </si>
  <si>
    <r>
      <t>  </t>
    </r>
    <r>
      <rPr>
        <b/>
        <sz val="11"/>
        <color theme="1"/>
        <rFont val="Arial"/>
        <family val="2"/>
      </rPr>
      <t>1.2950142473  </t>
    </r>
  </si>
  <si>
    <r>
      <t>  </t>
    </r>
    <r>
      <rPr>
        <b/>
        <sz val="11"/>
        <color theme="1"/>
        <rFont val="Arial"/>
        <family val="2"/>
      </rPr>
      <t>139  </t>
    </r>
  </si>
  <si>
    <r>
      <t>  </t>
    </r>
    <r>
      <rPr>
        <b/>
        <sz val="11"/>
        <color theme="1"/>
        <rFont val="Arial"/>
        <family val="2"/>
      </rPr>
      <t>1.3001384169  </t>
    </r>
  </si>
  <si>
    <r>
      <t>  </t>
    </r>
    <r>
      <rPr>
        <b/>
        <sz val="11"/>
        <color theme="1"/>
        <rFont val="Arial"/>
        <family val="2"/>
      </rPr>
      <t>140  </t>
    </r>
  </si>
  <si>
    <r>
      <t>  </t>
    </r>
    <r>
      <rPr>
        <b/>
        <sz val="11"/>
        <color theme="1"/>
        <rFont val="Arial"/>
        <family val="2"/>
      </rPr>
      <t>1.3053288385  </t>
    </r>
  </si>
  <si>
    <r>
      <t>  </t>
    </r>
    <r>
      <rPr>
        <b/>
        <sz val="11"/>
        <color theme="1"/>
        <rFont val="Arial"/>
        <family val="2"/>
      </rPr>
      <t>141  </t>
    </r>
  </si>
  <si>
    <r>
      <t>  </t>
    </r>
    <r>
      <rPr>
        <b/>
        <sz val="11"/>
        <color theme="1"/>
        <rFont val="Arial"/>
        <family val="2"/>
      </rPr>
      <t>1.3105863818  </t>
    </r>
  </si>
  <si>
    <r>
      <t>  </t>
    </r>
    <r>
      <rPr>
        <b/>
        <sz val="11"/>
        <color theme="1"/>
        <rFont val="Arial"/>
        <family val="2"/>
      </rPr>
      <t>142  </t>
    </r>
  </si>
  <si>
    <r>
      <t>  </t>
    </r>
    <r>
      <rPr>
        <b/>
        <sz val="11"/>
        <color theme="1"/>
        <rFont val="Arial"/>
        <family val="2"/>
      </rPr>
      <t>1.315911934  </t>
    </r>
  </si>
  <si>
    <r>
      <t>  </t>
    </r>
    <r>
      <rPr>
        <b/>
        <sz val="11"/>
        <color theme="1"/>
        <rFont val="Arial"/>
        <family val="2"/>
      </rPr>
      <t>143  </t>
    </r>
  </si>
  <si>
    <r>
      <t>  </t>
    </r>
    <r>
      <rPr>
        <b/>
        <sz val="11"/>
        <color theme="1"/>
        <rFont val="Arial"/>
        <family val="2"/>
      </rPr>
      <t>1.3213063997  </t>
    </r>
  </si>
  <si>
    <r>
      <t>  </t>
    </r>
    <r>
      <rPr>
        <b/>
        <sz val="11"/>
        <color theme="1"/>
        <rFont val="Arial"/>
        <family val="2"/>
      </rPr>
      <t>144  </t>
    </r>
  </si>
  <si>
    <r>
      <t>  </t>
    </r>
    <r>
      <rPr>
        <b/>
        <sz val="11"/>
        <color theme="1"/>
        <rFont val="Arial"/>
        <family val="2"/>
      </rPr>
      <t>1.3267707014  </t>
    </r>
  </si>
  <si>
    <r>
      <t>  </t>
    </r>
    <r>
      <rPr>
        <b/>
        <sz val="11"/>
        <color theme="1"/>
        <rFont val="Arial"/>
        <family val="2"/>
      </rPr>
      <t>145  </t>
    </r>
  </si>
  <si>
    <r>
      <t>  </t>
    </r>
    <r>
      <rPr>
        <b/>
        <sz val="11"/>
        <color theme="1"/>
        <rFont val="Arial"/>
        <family val="2"/>
      </rPr>
      <t>1.3323057802  </t>
    </r>
  </si>
  <si>
    <r>
      <t>  </t>
    </r>
    <r>
      <rPr>
        <b/>
        <sz val="11"/>
        <color theme="1"/>
        <rFont val="Arial"/>
        <family val="2"/>
      </rPr>
      <t>146  </t>
    </r>
  </si>
  <si>
    <r>
      <t>  </t>
    </r>
    <r>
      <rPr>
        <b/>
        <sz val="11"/>
        <color theme="1"/>
        <rFont val="Arial"/>
        <family val="2"/>
      </rPr>
      <t>1.3379125956  </t>
    </r>
  </si>
  <si>
    <r>
      <t>  </t>
    </r>
    <r>
      <rPr>
        <b/>
        <sz val="11"/>
        <color theme="1"/>
        <rFont val="Arial"/>
        <family val="2"/>
      </rPr>
      <t>147  </t>
    </r>
  </si>
  <si>
    <r>
      <t>  </t>
    </r>
    <r>
      <rPr>
        <b/>
        <sz val="11"/>
        <color theme="1"/>
        <rFont val="Arial"/>
        <family val="2"/>
      </rPr>
      <t>1.3435921268  </t>
    </r>
  </si>
  <si>
    <r>
      <t>  </t>
    </r>
    <r>
      <rPr>
        <b/>
        <sz val="11"/>
        <color theme="1"/>
        <rFont val="Arial"/>
        <family val="2"/>
      </rPr>
      <t>148  </t>
    </r>
  </si>
  <si>
    <r>
      <t>  </t>
    </r>
    <r>
      <rPr>
        <b/>
        <sz val="11"/>
        <color theme="1"/>
        <rFont val="Arial"/>
        <family val="2"/>
      </rPr>
      <t>1.3493453724  </t>
    </r>
  </si>
  <si>
    <r>
      <t>  </t>
    </r>
    <r>
      <rPr>
        <b/>
        <sz val="11"/>
        <color theme="1"/>
        <rFont val="Arial"/>
        <family val="2"/>
      </rPr>
      <t>149  </t>
    </r>
  </si>
  <si>
    <r>
      <t>  </t>
    </r>
    <r>
      <rPr>
        <b/>
        <sz val="11"/>
        <color theme="1"/>
        <rFont val="Arial"/>
        <family val="2"/>
      </rPr>
      <t>1.3551733512  </t>
    </r>
  </si>
  <si>
    <r>
      <t>  </t>
    </r>
    <r>
      <rPr>
        <b/>
        <sz val="11"/>
        <color theme="1"/>
        <rFont val="Arial"/>
        <family val="2"/>
      </rPr>
      <t>150  </t>
    </r>
  </si>
  <si>
    <r>
      <t>  </t>
    </r>
    <r>
      <rPr>
        <b/>
        <sz val="11"/>
        <color theme="1"/>
        <rFont val="Arial"/>
        <family val="2"/>
      </rPr>
      <t>1.3610771026  </t>
    </r>
  </si>
  <si>
    <r>
      <t>  </t>
    </r>
    <r>
      <rPr>
        <b/>
        <sz val="11"/>
        <color theme="1"/>
        <rFont val="Arial"/>
        <family val="2"/>
      </rPr>
      <t>151  </t>
    </r>
  </si>
  <si>
    <r>
      <t>  </t>
    </r>
    <r>
      <rPr>
        <b/>
        <sz val="11"/>
        <color theme="1"/>
        <rFont val="Arial"/>
        <family val="2"/>
      </rPr>
      <t>1.3670576873  </t>
    </r>
  </si>
  <si>
    <r>
      <t>  </t>
    </r>
    <r>
      <rPr>
        <b/>
        <sz val="11"/>
        <color theme="1"/>
        <rFont val="Arial"/>
        <family val="2"/>
      </rPr>
      <t>152  </t>
    </r>
  </si>
  <si>
    <r>
      <t>  </t>
    </r>
    <r>
      <rPr>
        <b/>
        <sz val="11"/>
        <color theme="1"/>
        <rFont val="Arial"/>
        <family val="2"/>
      </rPr>
      <t>1.3731161873  </t>
    </r>
  </si>
  <si>
    <r>
      <t>  </t>
    </r>
    <r>
      <rPr>
        <b/>
        <sz val="11"/>
        <color theme="1"/>
        <rFont val="Arial"/>
        <family val="2"/>
      </rPr>
      <t>153  </t>
    </r>
  </si>
  <si>
    <r>
      <t>  </t>
    </r>
    <r>
      <rPr>
        <b/>
        <sz val="11"/>
        <color theme="1"/>
        <rFont val="Arial"/>
        <family val="2"/>
      </rPr>
      <t>1.3792537072  </t>
    </r>
  </si>
  <si>
    <r>
      <t>  </t>
    </r>
    <r>
      <rPr>
        <b/>
        <sz val="11"/>
        <color theme="1"/>
        <rFont val="Arial"/>
        <family val="2"/>
      </rPr>
      <t>154  </t>
    </r>
  </si>
  <si>
    <r>
      <t>  </t>
    </r>
    <r>
      <rPr>
        <b/>
        <sz val="11"/>
        <color theme="1"/>
        <rFont val="Arial"/>
        <family val="2"/>
      </rPr>
      <t>1.3854713739  </t>
    </r>
  </si>
  <si>
    <r>
      <t>  </t>
    </r>
    <r>
      <rPr>
        <b/>
        <sz val="11"/>
        <color theme="1"/>
        <rFont val="Arial"/>
        <family val="2"/>
      </rPr>
      <t>155  </t>
    </r>
  </si>
  <si>
    <r>
      <t>  </t>
    </r>
    <r>
      <rPr>
        <b/>
        <sz val="11"/>
        <color theme="1"/>
        <rFont val="Arial"/>
        <family val="2"/>
      </rPr>
      <t>1.3917703377  </t>
    </r>
  </si>
  <si>
    <r>
      <t>  </t>
    </r>
    <r>
      <rPr>
        <b/>
        <sz val="11"/>
        <color theme="1"/>
        <rFont val="Arial"/>
        <family val="2"/>
      </rPr>
      <t>156  </t>
    </r>
  </si>
  <si>
    <r>
      <t>  </t>
    </r>
    <r>
      <rPr>
        <b/>
        <sz val="11"/>
        <color theme="1"/>
        <rFont val="Arial"/>
        <family val="2"/>
      </rPr>
      <t>1.3981517726  </t>
    </r>
  </si>
  <si>
    <r>
      <t>  </t>
    </r>
    <r>
      <rPr>
        <b/>
        <sz val="11"/>
        <color theme="1"/>
        <rFont val="Arial"/>
        <family val="2"/>
      </rPr>
      <t>157  </t>
    </r>
  </si>
  <si>
    <r>
      <t>  </t>
    </r>
    <r>
      <rPr>
        <b/>
        <sz val="11"/>
        <color theme="1"/>
        <rFont val="Arial"/>
        <family val="2"/>
      </rPr>
      <t>1.4046168773  </t>
    </r>
  </si>
  <si>
    <r>
      <t>  </t>
    </r>
    <r>
      <rPr>
        <b/>
        <sz val="11"/>
        <color theme="1"/>
        <rFont val="Arial"/>
        <family val="2"/>
      </rPr>
      <t>158  </t>
    </r>
  </si>
  <si>
    <r>
      <t>  </t>
    </r>
    <r>
      <rPr>
        <b/>
        <sz val="11"/>
        <color theme="1"/>
        <rFont val="Arial"/>
        <family val="2"/>
      </rPr>
      <t>1.4111668751  </t>
    </r>
  </si>
  <si>
    <r>
      <t>  </t>
    </r>
    <r>
      <rPr>
        <b/>
        <sz val="11"/>
        <color theme="1"/>
        <rFont val="Arial"/>
        <family val="2"/>
      </rPr>
      <t>159  </t>
    </r>
  </si>
  <si>
    <r>
      <t>  </t>
    </r>
    <r>
      <rPr>
        <b/>
        <sz val="11"/>
        <color theme="1"/>
        <rFont val="Arial"/>
        <family val="2"/>
      </rPr>
      <t>1.4178030152  </t>
    </r>
  </si>
  <si>
    <r>
      <t>  </t>
    </r>
    <r>
      <rPr>
        <b/>
        <sz val="11"/>
        <color theme="1"/>
        <rFont val="Arial"/>
        <family val="2"/>
      </rPr>
      <t>160  </t>
    </r>
  </si>
  <si>
    <r>
      <t>  </t>
    </r>
    <r>
      <rPr>
        <b/>
        <sz val="11"/>
        <color theme="1"/>
        <rFont val="Arial"/>
        <family val="2"/>
      </rPr>
      <t>1.4245265729  </t>
    </r>
  </si>
  <si>
    <r>
      <t>  </t>
    </r>
    <r>
      <rPr>
        <b/>
        <sz val="11"/>
        <color theme="1"/>
        <rFont val="Arial"/>
        <family val="2"/>
      </rPr>
      <t>161  </t>
    </r>
  </si>
  <si>
    <r>
      <t>  </t>
    </r>
    <r>
      <rPr>
        <b/>
        <sz val="11"/>
        <color theme="1"/>
        <rFont val="Arial"/>
        <family val="2"/>
      </rPr>
      <t>1.4313388505  </t>
    </r>
  </si>
  <si>
    <r>
      <t>  </t>
    </r>
    <r>
      <rPr>
        <b/>
        <sz val="11"/>
        <color theme="1"/>
        <rFont val="Arial"/>
        <family val="2"/>
      </rPr>
      <t>162  </t>
    </r>
  </si>
  <si>
    <r>
      <t>  </t>
    </r>
    <r>
      <rPr>
        <b/>
        <sz val="11"/>
        <color theme="1"/>
        <rFont val="Arial"/>
        <family val="2"/>
      </rPr>
      <t>1.438241178  </t>
    </r>
  </si>
  <si>
    <r>
      <t>  </t>
    </r>
    <r>
      <rPr>
        <b/>
        <sz val="11"/>
        <color theme="1"/>
        <rFont val="Arial"/>
        <family val="2"/>
      </rPr>
      <t>163  </t>
    </r>
  </si>
  <si>
    <r>
      <t>  </t>
    </r>
    <r>
      <rPr>
        <b/>
        <sz val="11"/>
        <color theme="1"/>
        <rFont val="Arial"/>
        <family val="2"/>
      </rPr>
      <t>1.4452349135  </t>
    </r>
  </si>
  <si>
    <r>
      <t>  </t>
    </r>
    <r>
      <rPr>
        <b/>
        <sz val="11"/>
        <color theme="1"/>
        <rFont val="Arial"/>
        <family val="2"/>
      </rPr>
      <t>164  </t>
    </r>
  </si>
  <si>
    <r>
      <t>  </t>
    </r>
    <r>
      <rPr>
        <b/>
        <sz val="11"/>
        <color theme="1"/>
        <rFont val="Arial"/>
        <family val="2"/>
      </rPr>
      <t>1.4523214442  </t>
    </r>
  </si>
  <si>
    <r>
      <t>  </t>
    </r>
    <r>
      <rPr>
        <b/>
        <sz val="11"/>
        <color theme="1"/>
        <rFont val="Arial"/>
        <family val="2"/>
      </rPr>
      <t>165  </t>
    </r>
  </si>
  <si>
    <r>
      <t>  </t>
    </r>
    <r>
      <rPr>
        <b/>
        <sz val="11"/>
        <color theme="1"/>
        <rFont val="Arial"/>
        <family val="2"/>
      </rPr>
      <t>1.4595021871  </t>
    </r>
  </si>
  <si>
    <r>
      <t>  </t>
    </r>
    <r>
      <rPr>
        <b/>
        <sz val="11"/>
        <color theme="1"/>
        <rFont val="Arial"/>
        <family val="2"/>
      </rPr>
      <t>166  </t>
    </r>
  </si>
  <si>
    <r>
      <t>  </t>
    </r>
    <r>
      <rPr>
        <b/>
        <sz val="11"/>
        <color theme="1"/>
        <rFont val="Arial"/>
        <family val="2"/>
      </rPr>
      <t>1.4667785899  </t>
    </r>
  </si>
  <si>
    <r>
      <t>  </t>
    </r>
    <r>
      <rPr>
        <b/>
        <sz val="11"/>
        <color theme="1"/>
        <rFont val="Arial"/>
        <family val="2"/>
      </rPr>
      <t>167  </t>
    </r>
  </si>
  <si>
    <r>
      <t>  </t>
    </r>
    <r>
      <rPr>
        <b/>
        <sz val="11"/>
        <color theme="1"/>
        <rFont val="Arial"/>
        <family val="2"/>
      </rPr>
      <t>1.4741521313  </t>
    </r>
  </si>
  <si>
    <r>
      <t>  </t>
    </r>
    <r>
      <rPr>
        <b/>
        <sz val="11"/>
        <color theme="1"/>
        <rFont val="Arial"/>
        <family val="2"/>
      </rPr>
      <t>168  </t>
    </r>
  </si>
  <si>
    <r>
      <t>  </t>
    </r>
    <r>
      <rPr>
        <b/>
        <sz val="11"/>
        <color theme="1"/>
        <rFont val="Arial"/>
        <family val="2"/>
      </rPr>
      <t>1.4816243224  </t>
    </r>
  </si>
  <si>
    <r>
      <t>  </t>
    </r>
    <r>
      <rPr>
        <b/>
        <sz val="11"/>
        <color theme="1"/>
        <rFont val="Arial"/>
        <family val="2"/>
      </rPr>
      <t>169  </t>
    </r>
  </si>
  <si>
    <r>
      <t>  </t>
    </r>
    <r>
      <rPr>
        <b/>
        <sz val="11"/>
        <color theme="1"/>
        <rFont val="Arial"/>
        <family val="2"/>
      </rPr>
      <t>1.4891967073  </t>
    </r>
  </si>
  <si>
    <r>
      <t>  </t>
    </r>
    <r>
      <rPr>
        <b/>
        <sz val="11"/>
        <color theme="1"/>
        <rFont val="Arial"/>
        <family val="2"/>
      </rPr>
      <t>170  </t>
    </r>
  </si>
  <si>
    <r>
      <t>  </t>
    </r>
    <r>
      <rPr>
        <b/>
        <sz val="11"/>
        <color theme="1"/>
        <rFont val="Arial"/>
        <family val="2"/>
      </rPr>
      <t>1.4968708638  </t>
    </r>
  </si>
  <si>
    <r>
      <t>  </t>
    </r>
    <r>
      <rPr>
        <b/>
        <sz val="11"/>
        <color theme="1"/>
        <rFont val="Arial"/>
        <family val="2"/>
      </rPr>
      <t>171  </t>
    </r>
  </si>
  <si>
    <r>
      <t>  </t>
    </r>
    <r>
      <rPr>
        <b/>
        <sz val="11"/>
        <color theme="1"/>
        <rFont val="Arial"/>
        <family val="2"/>
      </rPr>
      <t>1.5046484046  </t>
    </r>
  </si>
  <si>
    <r>
      <t>  </t>
    </r>
    <r>
      <rPr>
        <b/>
        <sz val="11"/>
        <color theme="1"/>
        <rFont val="Arial"/>
        <family val="2"/>
      </rPr>
      <t>172  </t>
    </r>
  </si>
  <si>
    <r>
      <t>  </t>
    </r>
    <r>
      <rPr>
        <b/>
        <sz val="11"/>
        <color theme="1"/>
        <rFont val="Arial"/>
        <family val="2"/>
      </rPr>
      <t>1.5125309781  </t>
    </r>
  </si>
  <si>
    <r>
      <t>  </t>
    </r>
    <r>
      <rPr>
        <b/>
        <sz val="11"/>
        <color theme="1"/>
        <rFont val="Arial"/>
        <family val="2"/>
      </rPr>
      <t>173  </t>
    </r>
  </si>
  <si>
    <r>
      <t>  </t>
    </r>
    <r>
      <rPr>
        <b/>
        <sz val="11"/>
        <color theme="1"/>
        <rFont val="Arial"/>
        <family val="2"/>
      </rPr>
      <t>1.5205202694  </t>
    </r>
  </si>
  <si>
    <r>
      <t>  </t>
    </r>
    <r>
      <rPr>
        <b/>
        <sz val="11"/>
        <color theme="1"/>
        <rFont val="Arial"/>
        <family val="2"/>
      </rPr>
      <t>174  </t>
    </r>
  </si>
  <si>
    <r>
      <t>  </t>
    </r>
    <r>
      <rPr>
        <b/>
        <sz val="11"/>
        <color theme="1"/>
        <rFont val="Arial"/>
        <family val="2"/>
      </rPr>
      <t>1.5286180011  </t>
    </r>
  </si>
  <si>
    <r>
      <t>  </t>
    </r>
    <r>
      <rPr>
        <b/>
        <sz val="11"/>
        <color theme="1"/>
        <rFont val="Arial"/>
        <family val="2"/>
      </rPr>
      <t>175  </t>
    </r>
  </si>
  <si>
    <r>
      <t>  </t>
    </r>
    <r>
      <rPr>
        <b/>
        <sz val="11"/>
        <color theme="1"/>
        <rFont val="Arial"/>
        <family val="2"/>
      </rPr>
      <t>1.5368259346  </t>
    </r>
  </si>
  <si>
    <r>
      <t>  </t>
    </r>
    <r>
      <rPr>
        <b/>
        <sz val="11"/>
        <color theme="1"/>
        <rFont val="Arial"/>
        <family val="2"/>
      </rPr>
      <t>176  </t>
    </r>
  </si>
  <si>
    <r>
      <t>  </t>
    </r>
    <r>
      <rPr>
        <b/>
        <sz val="11"/>
        <color theme="1"/>
        <rFont val="Arial"/>
        <family val="2"/>
      </rPr>
      <t>1.5451458709  </t>
    </r>
  </si>
  <si>
    <r>
      <t>  </t>
    </r>
    <r>
      <rPr>
        <b/>
        <sz val="11"/>
        <color theme="1"/>
        <rFont val="Arial"/>
        <family val="2"/>
      </rPr>
      <t>177  </t>
    </r>
  </si>
  <si>
    <r>
      <t>  </t>
    </r>
    <r>
      <rPr>
        <b/>
        <sz val="11"/>
        <color theme="1"/>
        <rFont val="Arial"/>
        <family val="2"/>
      </rPr>
      <t>1.553579652  </t>
    </r>
  </si>
  <si>
    <r>
      <t>  </t>
    </r>
    <r>
      <rPr>
        <b/>
        <sz val="11"/>
        <color theme="1"/>
        <rFont val="Arial"/>
        <family val="2"/>
      </rPr>
      <t>178  </t>
    </r>
  </si>
  <si>
    <r>
      <t>  </t>
    </r>
    <r>
      <rPr>
        <b/>
        <sz val="11"/>
        <color theme="1"/>
        <rFont val="Arial"/>
        <family val="2"/>
      </rPr>
      <t>1.5621291616  </t>
    </r>
  </si>
  <si>
    <r>
      <t>  </t>
    </r>
    <r>
      <rPr>
        <b/>
        <sz val="11"/>
        <color theme="1"/>
        <rFont val="Arial"/>
        <family val="2"/>
      </rPr>
      <t>179  </t>
    </r>
  </si>
  <si>
    <r>
      <t>  </t>
    </r>
    <r>
      <rPr>
        <b/>
        <sz val="11"/>
        <color theme="1"/>
        <rFont val="Arial"/>
        <family val="2"/>
      </rPr>
      <t>1.5707963268  </t>
    </r>
  </si>
  <si>
    <r>
      <t>  </t>
    </r>
    <r>
      <rPr>
        <b/>
        <sz val="11"/>
        <color theme="1"/>
        <rFont val="Arial"/>
        <family val="2"/>
      </rPr>
      <t>180  </t>
    </r>
  </si>
  <si>
    <t>  1.0000126925</t>
  </si>
  <si>
    <t>      1</t>
  </si>
  <si>
    <t>  1.0000507714  </t>
  </si>
  <si>
    <t>      2  </t>
  </si>
  <si>
    <t>  1.0001142407  </t>
  </si>
  <si>
    <t>      3  </t>
  </si>
  <si>
    <t>  1.0002031072  </t>
  </si>
  <si>
    <t>      4  </t>
  </si>
  <si>
    <t>  1.0003173803  </t>
  </si>
  <si>
    <t>      5  </t>
  </si>
  <si>
    <t>  1.0004570723  </t>
  </si>
  <si>
    <t>      6  </t>
  </si>
  <si>
    <t>  1.0006221981  </t>
  </si>
  <si>
    <t>      7  </t>
  </si>
  <si>
    <t>  1.0008127753  </t>
  </si>
  <si>
    <t>      8  </t>
  </si>
  <si>
    <t>  1.0010288241  </t>
  </si>
  <si>
    <t>      9  </t>
  </si>
  <si>
    <t>  1.0012703678  </t>
  </si>
  <si>
    <t>    10  </t>
  </si>
  <si>
    <t>  1.0015374321  </t>
  </si>
  <si>
    <t>    11  </t>
  </si>
  <si>
    <t>  1.0018300456  </t>
  </si>
  <si>
    <t>    12  </t>
  </si>
  <si>
    <t>  1.0021482395  </t>
  </si>
  <si>
    <t>    13  </t>
  </si>
  <si>
    <t>  1.0024920478  </t>
  </si>
  <si>
    <t>    14  </t>
  </si>
  <si>
    <t>  1.0028615075  </t>
  </si>
  <si>
    <t>    15  </t>
  </si>
  <si>
    <t>  1.003256658  </t>
  </si>
  <si>
    <t>    16  </t>
  </si>
  <si>
    <t>  1.0036775418  </t>
  </si>
  <si>
    <t>    17  </t>
  </si>
  <si>
    <t>  1.004124204  </t>
  </si>
  <si>
    <t>    18  </t>
  </si>
  <si>
    <t>  1.0045966924  </t>
  </si>
  <si>
    <t>    19  </t>
  </si>
  <si>
    <t>  1.005095058  </t>
  </si>
  <si>
    <t>    20  </t>
  </si>
  <si>
    <t>  1.0056193542  </t>
  </si>
  <si>
    <t>    21  </t>
  </si>
  <si>
    <t>  1.0061696376  </t>
  </si>
  <si>
    <t>    22  </t>
  </si>
  <si>
    <t>  1.0067459673  </t>
  </si>
  <si>
    <t>    23  </t>
  </si>
  <si>
    <t>  1.0073484055  </t>
  </si>
  <si>
    <t>    24  </t>
  </si>
  <si>
    <t>  1.0079770174  </t>
  </si>
  <si>
    <t>    25  </t>
  </si>
  <si>
    <t>  1.0086318707  </t>
  </si>
  <si>
    <t>    26  </t>
  </si>
  <si>
    <t>  1.0093130364  </t>
  </si>
  <si>
    <t>    27  </t>
  </si>
  <si>
    <t>  1.0100205881  </t>
  </si>
  <si>
    <t>    28  </t>
  </si>
  <si>
    <t>  1.0107546028  </t>
  </si>
  <si>
    <t>    29  </t>
  </si>
  <si>
    <t>  1.0115151599  </t>
  </si>
  <si>
    <t>    30  </t>
  </si>
  <si>
    <t>  1.0123023423  </t>
  </si>
  <si>
    <t>    31  </t>
  </si>
  <si>
    <t>  1.0131162356  </t>
  </si>
  <si>
    <t>    32  </t>
  </si>
  <si>
    <t>  1.0139569286  </t>
  </si>
  <si>
    <t>    33  </t>
  </si>
  <si>
    <t>  1.0148245129  </t>
  </si>
  <si>
    <t>    34  </t>
  </si>
  <si>
    <t>  1.0157190836  </t>
  </si>
  <si>
    <t>    35  </t>
  </si>
  <si>
    <t>  1.0166407385  </t>
  </si>
  <si>
    <t>    36  </t>
  </si>
  <si>
    <t>  1.0175895787  </t>
  </si>
  <si>
    <t>    37  </t>
  </si>
  <si>
    <t>  1.0185657084  </t>
  </si>
  <si>
    <t>    38  </t>
  </si>
  <si>
    <t>  1.0195692351  </t>
  </si>
  <si>
    <t>    39  </t>
  </si>
  <si>
    <t>  1.0206002693  </t>
  </si>
  <si>
    <t>    40  </t>
  </si>
  <si>
    <t>  1.021658925  </t>
  </si>
  <si>
    <t>    41  </t>
  </si>
  <si>
    <t>  1.0227453191  </t>
  </si>
  <si>
    <t>    42  </t>
  </si>
  <si>
    <t>  1.0238595721  </t>
  </si>
  <si>
    <t>    43  </t>
  </si>
  <si>
    <t>  1.0250018077  </t>
  </si>
  <si>
    <t>    44  </t>
  </si>
  <si>
    <t>  1.026172153  </t>
  </si>
  <si>
    <t>    45  </t>
  </si>
  <si>
    <t>  1.0273707383  </t>
  </si>
  <si>
    <t>    46  </t>
  </si>
  <si>
    <t>  1.0285976976  </t>
  </si>
  <si>
    <t>    47  </t>
  </si>
  <si>
    <t>  1.0298531682  </t>
  </si>
  <si>
    <t>    48  </t>
  </si>
  <si>
    <t>  1.0311372908  </t>
  </si>
  <si>
    <t>    49  </t>
  </si>
  <si>
    <t>  1.0324502098  </t>
  </si>
  <si>
    <t>    50  </t>
  </si>
  <si>
    <t>  1.0337920731  </t>
  </si>
  <si>
    <t>    51  </t>
  </si>
  <si>
    <t>  1.0351630322  </t>
  </si>
  <si>
    <t>    52  </t>
  </si>
  <si>
    <t>  1.0365632421  </t>
  </si>
  <si>
    <t>    53  </t>
  </si>
  <si>
    <t>  1.0379928618  </t>
  </si>
  <si>
    <t>    54  </t>
  </si>
  <si>
    <t>  1.0394520537  </t>
  </si>
  <si>
    <t>    55  </t>
  </si>
  <si>
    <t>  1.0409409841  </t>
  </si>
  <si>
    <t>    56  </t>
  </si>
  <si>
    <t>  1.0424598231  </t>
  </si>
  <si>
    <t>    57  </t>
  </si>
  <si>
    <t>  1.0440087448  </t>
  </si>
  <si>
    <t>    58  </t>
  </si>
  <si>
    <t>  1.0455879268  </t>
  </si>
  <si>
    <t>    59  </t>
  </si>
  <si>
    <t>  1.0471975512  </t>
  </si>
  <si>
    <t>    60  </t>
  </si>
  <si>
    <t>  1.0488378036  </t>
  </si>
  <si>
    <t>    61  </t>
  </si>
  <si>
    <t>  1.050508874  </t>
  </si>
  <si>
    <t>    62  </t>
  </si>
  <si>
    <t>  1.0522109562  </t>
  </si>
  <si>
    <t>    63  </t>
  </si>
  <si>
    <t>  1.0539442484  </t>
  </si>
  <si>
    <t>    64  </t>
  </si>
  <si>
    <t>  1.0557089529  </t>
  </si>
  <si>
    <t>    65  </t>
  </si>
  <si>
    <t>  1.0575052762  </t>
  </si>
  <si>
    <t>    66  </t>
  </si>
  <si>
    <t>  1.0593334293  </t>
  </si>
  <si>
    <t>    67  </t>
  </si>
  <si>
    <t>  1.0611936274  </t>
  </si>
  <si>
    <t>    68  </t>
  </si>
  <si>
    <t>  1.0630860903  </t>
  </si>
  <si>
    <t>    69  </t>
  </si>
  <si>
    <t>  1.0650110421  </t>
  </si>
  <si>
    <t>    70  </t>
  </si>
  <si>
    <t>  1.0669687116  </t>
  </si>
  <si>
    <t>    71  </t>
  </si>
  <si>
    <t>  1.0689593321  </t>
  </si>
  <si>
    <t>    72  </t>
  </si>
  <si>
    <t>  1.0709831418  </t>
  </si>
  <si>
    <t>    73  </t>
  </si>
  <si>
    <t>  1.0730403835  </t>
  </si>
  <si>
    <t>    74  </t>
  </si>
  <si>
    <t>  1.0751313048  </t>
  </si>
  <si>
    <t>    75  </t>
  </si>
  <si>
    <t>  1.0772561584  </t>
  </si>
  <si>
    <t>    76  </t>
  </si>
  <si>
    <t>  1.0794152016  </t>
  </si>
  <si>
    <t>    77  </t>
  </si>
  <si>
    <t>  1.0816086972  </t>
  </si>
  <si>
    <t>    78  </t>
  </si>
  <si>
    <t>  1.0838369128  </t>
  </si>
  <si>
    <t>    79  </t>
  </si>
  <si>
    <t>  1.0861001212  </t>
  </si>
  <si>
    <t>    80  </t>
  </si>
  <si>
    <t>  1.0883986007  </t>
  </si>
  <si>
    <t>    81  </t>
  </si>
  <si>
    <t>  1.0907326349  </t>
  </si>
  <si>
    <t>    82  </t>
  </si>
  <si>
    <t>  1.0931025126  </t>
  </si>
  <si>
    <t>    83  </t>
  </si>
  <si>
    <t>  1.0955085283  </t>
  </si>
  <si>
    <t>    84  </t>
  </si>
  <si>
    <t>  1.0979509823  </t>
  </si>
  <si>
    <t>    85  </t>
  </si>
  <si>
    <t>  1.1004301803  </t>
  </si>
  <si>
    <t>    86  </t>
  </si>
  <si>
    <t>  1.102946434  </t>
  </si>
  <si>
    <t>    87  </t>
  </si>
  <si>
    <t>  1.1055000609  </t>
  </si>
  <si>
    <t>    88  </t>
  </si>
  <si>
    <t>  1.1080913846  </t>
  </si>
  <si>
    <t>    89  </t>
  </si>
  <si>
    <t>  1.1107207345  </t>
  </si>
  <si>
    <t>    90  </t>
  </si>
  <si>
    <t>  1.1133884467  </t>
  </si>
  <si>
    <t>    91  </t>
  </si>
  <si>
    <t>  1.116094863  </t>
  </si>
  <si>
    <t>    92  </t>
  </si>
  <si>
    <t>  1.1188403321  </t>
  </si>
  <si>
    <t>    93  </t>
  </si>
  <si>
    <t>  1.121625209  </t>
  </si>
  <si>
    <t>    94  </t>
  </si>
  <si>
    <t>  1.1244498553  </t>
  </si>
  <si>
    <t>    95  </t>
  </si>
  <si>
    <t>  1.1273146394  </t>
  </si>
  <si>
    <t>    96  </t>
  </si>
  <si>
    <t>  1.1302199365  </t>
  </si>
  <si>
    <t>    97  </t>
  </si>
  <si>
    <t>  1.1331661289  </t>
  </si>
  <si>
    <t>    98  </t>
  </si>
  <si>
    <t>  1.1361536059  </t>
  </si>
  <si>
    <t>    99  </t>
  </si>
  <si>
    <t>  1.1391827639  </t>
  </si>
  <si>
    <t>  100  </t>
  </si>
  <si>
    <t>  1.142254007  </t>
  </si>
  <si>
    <t>  101  </t>
  </si>
  <si>
    <t>  1.1453677464  </t>
  </si>
  <si>
    <t>  102  </t>
  </si>
  <si>
    <t>  1.1485244013  </t>
  </si>
  <si>
    <t>  103  </t>
  </si>
  <si>
    <t>  1.1517243983  </t>
  </si>
  <si>
    <t>  104  </t>
  </si>
  <si>
    <t>  1.1549681721  </t>
  </si>
  <si>
    <t>  105  </t>
  </si>
  <si>
    <t>  1.1582561656  </t>
  </si>
  <si>
    <t>  106  </t>
  </si>
  <si>
    <t>  1.1615888295  </t>
  </si>
  <si>
    <t>  107  </t>
  </si>
  <si>
    <t>  1.1649666232  </t>
  </si>
  <si>
    <t>  108  </t>
  </si>
  <si>
    <t>  1.1683900145  </t>
  </si>
  <si>
    <t>  109  </t>
  </si>
  <si>
    <t>  1.1718594799  </t>
  </si>
  <si>
    <t>  110  </t>
  </si>
  <si>
    <t>  1.1753755047  </t>
  </si>
  <si>
    <t>  111  </t>
  </si>
  <si>
    <t>  1.1789385831  </t>
  </si>
  <si>
    <t>  112  </t>
  </si>
  <si>
    <t>  1.1825492187  </t>
  </si>
  <si>
    <t>  113  </t>
  </si>
  <si>
    <t>  1.1862079244  </t>
  </si>
  <si>
    <t>  114  </t>
  </si>
  <si>
    <t>  1.1899152225  </t>
  </si>
  <si>
    <t>  115  </t>
  </si>
  <si>
    <t>  1.1936716452  </t>
  </si>
  <si>
    <t>  116  </t>
  </si>
  <si>
    <t>  1.1974777346  </t>
  </si>
  <si>
    <t>  117  </t>
  </si>
  <si>
    <t>  1.2013340428  </t>
  </si>
  <si>
    <t>  118  </t>
  </si>
  <si>
    <t>  1.2052411323  </t>
  </si>
  <si>
    <t>  119  </t>
  </si>
  <si>
    <t>  1.2091995762  </t>
  </si>
  <si>
    <t>  120  </t>
  </si>
  <si>
    <t>  1.2132099582  </t>
  </si>
  <si>
    <t>  121  </t>
  </si>
  <si>
    <t>  1.217272873  </t>
  </si>
  <si>
    <t>  122  </t>
  </si>
  <si>
    <t>  1.2213889267  </t>
  </si>
  <si>
    <t>  123  </t>
  </si>
  <si>
    <t>  1.2255587364  </t>
  </si>
  <si>
    <t>  124  </t>
  </si>
  <si>
    <t>  1.2297829313  </t>
  </si>
  <si>
    <t>  125  </t>
  </si>
  <si>
    <t>  1.2340621521  </t>
  </si>
  <si>
    <t>  126  </t>
  </si>
  <si>
    <t>  1.2383970519  </t>
  </si>
  <si>
    <t>  127  </t>
  </si>
  <si>
    <t>  1.242788296  </t>
  </si>
  <si>
    <t>  128  </t>
  </si>
  <si>
    <t>  1.2472365626  </t>
  </si>
  <si>
    <t>  129  </t>
  </si>
  <si>
    <t>  1.2517425427  </t>
  </si>
  <si>
    <t>  130  </t>
  </si>
  <si>
    <t>  1.2563069404  </t>
  </si>
  <si>
    <t>  131  </t>
  </si>
  <si>
    <t>  1.2609304733  </t>
  </si>
  <si>
    <t>  132  </t>
  </si>
  <si>
    <t>  1.2656138731  </t>
  </si>
  <si>
    <t>  133  </t>
  </si>
  <si>
    <t>  1.2703578851  </t>
  </si>
  <si>
    <t>  134  </t>
  </si>
  <si>
    <t>  1.2751632693  </t>
  </si>
  <si>
    <t>  135  </t>
  </si>
  <si>
    <t>  1.2800308003  </t>
  </si>
  <si>
    <t>  136  </t>
  </si>
  <si>
    <t>  1.2849612677  </t>
  </si>
  <si>
    <t>  137  </t>
  </si>
  <si>
    <t>  1.2899554765  </t>
  </si>
  <si>
    <t>  138  </t>
  </si>
  <si>
    <t>  1.2950142473  </t>
  </si>
  <si>
    <t>  139  </t>
  </si>
  <si>
    <t>  1.3001384169  </t>
  </si>
  <si>
    <t>  140  </t>
  </si>
  <si>
    <t>  1.3053288385  </t>
  </si>
  <si>
    <t>  141  </t>
  </si>
  <si>
    <t>  1.3105863818  </t>
  </si>
  <si>
    <t>  142  </t>
  </si>
  <si>
    <t>  1.315911934  </t>
  </si>
  <si>
    <t>  143  </t>
  </si>
  <si>
    <t>  1.3213063997  </t>
  </si>
  <si>
    <t>  144  </t>
  </si>
  <si>
    <t>  1.3267707014  </t>
  </si>
  <si>
    <t>  145  </t>
  </si>
  <si>
    <t>  1.3323057802  </t>
  </si>
  <si>
    <t>  146  </t>
  </si>
  <si>
    <t>  1.3379125956  </t>
  </si>
  <si>
    <t>  147  </t>
  </si>
  <si>
    <t>  1.3435921268  </t>
  </si>
  <si>
    <t>  148  </t>
  </si>
  <si>
    <t>  1.3493453724  </t>
  </si>
  <si>
    <t>  149  </t>
  </si>
  <si>
    <t>  1.3551733512  </t>
  </si>
  <si>
    <t>  150  </t>
  </si>
  <si>
    <t>  1.3610771026  </t>
  </si>
  <si>
    <t>  151  </t>
  </si>
  <si>
    <t>  1.3670576873  </t>
  </si>
  <si>
    <t>  152  </t>
  </si>
  <si>
    <t>  1.3731161873  </t>
  </si>
  <si>
    <t>  153  </t>
  </si>
  <si>
    <t>  1.3792537072  </t>
  </si>
  <si>
    <t>  154  </t>
  </si>
  <si>
    <t>  1.3854713739  </t>
  </si>
  <si>
    <t>  155  </t>
  </si>
  <si>
    <t>  1.3917703377  </t>
  </si>
  <si>
    <t>  156  </t>
  </si>
  <si>
    <t>  1.3981517726  </t>
  </si>
  <si>
    <t>  157  </t>
  </si>
  <si>
    <t>  1.4046168773  </t>
  </si>
  <si>
    <t>  158  </t>
  </si>
  <si>
    <t>  1.4111668751  </t>
  </si>
  <si>
    <t>  159  </t>
  </si>
  <si>
    <t>  1.4178030152  </t>
  </si>
  <si>
    <t>  160  </t>
  </si>
  <si>
    <t>  1.4245265729  </t>
  </si>
  <si>
    <t>  161  </t>
  </si>
  <si>
    <t>  1.4313388505  </t>
  </si>
  <si>
    <t>  162  </t>
  </si>
  <si>
    <t>  1.438241178  </t>
  </si>
  <si>
    <t>  163  </t>
  </si>
  <si>
    <t>  1.4452349135  </t>
  </si>
  <si>
    <t>  164  </t>
  </si>
  <si>
    <t>  1.4523214442  </t>
  </si>
  <si>
    <t>  165  </t>
  </si>
  <si>
    <t>  1.4595021871  </t>
  </si>
  <si>
    <t>  166  </t>
  </si>
  <si>
    <t>  1.4667785899  </t>
  </si>
  <si>
    <t>  167  </t>
  </si>
  <si>
    <t>  1.4741521313  </t>
  </si>
  <si>
    <t>  168  </t>
  </si>
  <si>
    <t>  1.4816243224  </t>
  </si>
  <si>
    <t>  169  </t>
  </si>
  <si>
    <t>  1.4891967073  </t>
  </si>
  <si>
    <t>  170  </t>
  </si>
  <si>
    <t>  1.4968708638  </t>
  </si>
  <si>
    <t>  171  </t>
  </si>
  <si>
    <t>  1.5046484046  </t>
  </si>
  <si>
    <t>  172  </t>
  </si>
  <si>
    <t>  1.5125309781  </t>
  </si>
  <si>
    <t>  173  </t>
  </si>
  <si>
    <t>  1.5205202694  </t>
  </si>
  <si>
    <t>  174  </t>
  </si>
  <si>
    <t>  1.5286180011  </t>
  </si>
  <si>
    <t>  175  </t>
  </si>
  <si>
    <t>  1.5368259346  </t>
  </si>
  <si>
    <t>  176  </t>
  </si>
  <si>
    <t>  1.5451458709  </t>
  </si>
  <si>
    <t>  177  </t>
  </si>
  <si>
    <t>  1.553579652  </t>
  </si>
  <si>
    <t>  178  </t>
  </si>
  <si>
    <t>  1.5621291616  </t>
  </si>
  <si>
    <t>  179  </t>
  </si>
  <si>
    <t>  1.5707963268  </t>
  </si>
  <si>
    <t>  180  </t>
  </si>
  <si>
    <t>    Arc ÷ Chord   Ratio</t>
  </si>
  <si>
    <t>    Arc ÷ Chord   Ratio      </t>
  </si>
  <si>
    <t xml:space="preserve"> Angle</t>
  </si>
  <si>
    <t xml:space="preserve">    Arc ÷ Chord   Ratio </t>
  </si>
  <si>
    <t>.</t>
  </si>
  <si>
    <t>Place</t>
  </si>
  <si>
    <t>Point 1</t>
  </si>
  <si>
    <t>Point 2</t>
  </si>
  <si>
    <t xml:space="preserve">functions convert the values into radians form and **COS** provides the cosine of the values, the cosines for latitude are multiplied then.  </t>
  </si>
  <si>
    <t xml:space="preserve"> it provides the cosine value for the longitude difference between two locations.  </t>
  </si>
  <si>
    <t xml:space="preserve"> calculates the diversion of longitudes from 90 in radians form and multiplied the sine values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</si>
</sst>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0">
    <numFmt numFmtId="43" formatCode="_(* #,##0.00_);_(* \(#,##0.00\);_(* &quot;-&quot;??_);_(@_)"/>
    <numFmt numFmtId="164" formatCode="_(* #,##0.000_);_(* \(#,##0.000\);_(* &quot;-&quot;??_);_(@_)"/>
    <numFmt numFmtId="165" formatCode="_(* #,##0.0_);_(* \(#,##0.0\);_(* &quot;-&quot;??_);_(@_)"/>
    <numFmt numFmtId="166" formatCode="_(* #,##0_);_(* \(#,##0\);_(* &quot;-&quot;??_);_(@_)"/>
    <numFmt numFmtId="167" formatCode="_(* #,##0.000000_);_(* \(#,##0.000000\);_(* &quot;-&quot;??_);_(@_)"/>
    <numFmt numFmtId="168" formatCode="_(* #,##0.00000_);_(* \(#,##0.00000\);_(* &quot;-&quot;??_);_(@_)"/>
    <numFmt numFmtId="169" formatCode="_(* #,##0.0000_);_(* \(#,##0.0000\);_(* &quot;-&quot;??_);_(@_)"/>
    <numFmt numFmtId="170" formatCode="_-* #,##0.00_-;\-* #,##0.00_-;_-* &quot;-&quot;??_-;_-@_-"/>
    <numFmt numFmtId="171" formatCode="_(* #,##0.000000000_);_(* \(#,##0.000000000\);_(* &quot;-&quot;??_);_(@_)"/>
    <numFmt numFmtId="172" formatCode="_-* #,##0.0000_-;\-* #,##0.0000_-;_-* &quot;-&quot;??_-;_-@_-"/>
    <numFmt numFmtId="173" formatCode="_(* #,##0.0000000_);_(* \(#,##0.0000000\);_(* &quot;-&quot;??_);_(@_)"/>
    <numFmt numFmtId="174" formatCode="0.00000000"/>
    <numFmt numFmtId="175" formatCode="#,##0.000000_ ;\-#,##0.000000\ "/>
    <numFmt numFmtId="176" formatCode="#,##0.0000_ ;\-#,##0.0000\ "/>
    <numFmt numFmtId="177" formatCode="#,##0.00_ ;\-#,##0.00\ "/>
    <numFmt numFmtId="178" formatCode="0.000"/>
    <numFmt numFmtId="179" formatCode="0.000000"/>
    <numFmt numFmtId="180" formatCode="_-* #,##0.000_-;\-* #,##0.000_-;_-* &quot;-&quot;??_-;_-@_-"/>
    <numFmt numFmtId="181" formatCode="_-* #,##0_-;\-* #,##0_-;_-* &quot;-&quot;??_-;_-@_-"/>
    <numFmt numFmtId="182" formatCode="0.00000"/>
    <numFmt numFmtId="183" formatCode="#,##0_ ;[Red]\-#,##0\ "/>
    <numFmt numFmtId="184" formatCode="#,##0.0000_ ;[Red]\-#,##0.0000\ "/>
    <numFmt numFmtId="185" formatCode="#,##0.000_ ;[Red]\-#,##0.000\ "/>
    <numFmt numFmtId="186" formatCode="#,##0.0000000000000000_);[Red]\(#,##0.0000000000000000\)"/>
    <numFmt numFmtId="187" formatCode="0.0000"/>
    <numFmt numFmtId="188" formatCode="#,##0.00000_ ;[Red]\-#,##0.00000\ "/>
    <numFmt numFmtId="189" formatCode="#,##0.000000_ ;[Red]\-#,##0.000000\ "/>
    <numFmt numFmtId="190" formatCode="#,##0.00000000_);[Red]\(#,##0.00000000\)"/>
    <numFmt numFmtId="191" formatCode="#,##0.00000000000000_);[Red]\(#,##0.00000000000000\)"/>
    <numFmt numFmtId="192" formatCode="_-* #,##0.0_-;\-* #,##0.0_-;_-* &quot;-&quot;??_-;_-@_-"/>
  </numFmts>
  <fonts count="37" x14ac:knownFonts="1">
    <font>
      <sz val="11"/>
      <color theme="1"/>
      <name val="Aptos Narrow"/>
      <family val="2"/>
      <scheme val="minor"/>
    </font>
    <font>
      <sz val="11"/>
      <color theme="1"/>
      <name val="Aptos Narrow"/>
      <family val="2"/>
      <scheme val="minor"/>
    </font>
    <font>
      <b/>
      <sz val="15"/>
      <color theme="3"/>
      <name val="Aptos Narrow"/>
      <family val="2"/>
      <scheme val="minor"/>
    </font>
    <font>
      <b/>
      <sz val="11"/>
      <color theme="3"/>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b/>
      <sz val="14"/>
      <color theme="3"/>
      <name val="Aptos Narrow"/>
      <family val="2"/>
      <scheme val="minor"/>
    </font>
    <font>
      <b/>
      <sz val="11"/>
      <color theme="1"/>
      <name val="Calibri"/>
      <family val="2"/>
    </font>
    <font>
      <b/>
      <sz val="11"/>
      <color rgb="FFFF0000"/>
      <name val="Aptos Narrow"/>
      <family val="2"/>
      <scheme val="minor"/>
    </font>
    <font>
      <b/>
      <sz val="48"/>
      <name val="Aptos Narrow"/>
      <family val="2"/>
      <scheme val="minor"/>
    </font>
    <font>
      <b/>
      <sz val="48"/>
      <color theme="1"/>
      <name val="Aptos Narrow"/>
      <family val="2"/>
      <scheme val="minor"/>
    </font>
    <font>
      <b/>
      <sz val="14"/>
      <color rgb="FF7030A0"/>
      <name val="Aptos Narrow"/>
      <family val="2"/>
      <scheme val="minor"/>
    </font>
    <font>
      <sz val="14"/>
      <color theme="1"/>
      <name val="Aptos Narrow"/>
      <family val="2"/>
      <scheme val="minor"/>
    </font>
    <font>
      <sz val="11"/>
      <color rgb="FF7030A0"/>
      <name val="Aptos Narrow"/>
      <family val="2"/>
      <scheme val="minor"/>
    </font>
    <font>
      <b/>
      <sz val="11"/>
      <color rgb="FF7030A0"/>
      <name val="Aptos Narrow"/>
      <family val="2"/>
      <scheme val="minor"/>
    </font>
    <font>
      <i/>
      <sz val="11"/>
      <color theme="1"/>
      <name val="Aptos Narrow"/>
      <family val="2"/>
      <scheme val="minor"/>
    </font>
    <font>
      <sz val="7"/>
      <color rgb="FFDADADA"/>
      <name val="Arial"/>
      <family val="2"/>
    </font>
    <font>
      <b/>
      <sz val="14"/>
      <color rgb="FF000000"/>
      <name val="Merriweather"/>
    </font>
    <font>
      <sz val="14"/>
      <color rgb="FF000000"/>
      <name val="Merriweather"/>
    </font>
    <font>
      <i/>
      <sz val="14"/>
      <color rgb="FF000000"/>
      <name val="Merriweather"/>
    </font>
    <font>
      <i/>
      <sz val="14"/>
      <color rgb="FF1A7FC3"/>
      <name val="Merriweather"/>
    </font>
    <font>
      <sz val="14"/>
      <color rgb="FF1A7FC3"/>
      <name val="Merriweather"/>
    </font>
    <font>
      <vertAlign val="superscript"/>
      <sz val="3.85"/>
      <color rgb="FF000000"/>
      <name val="Merriweather"/>
    </font>
    <font>
      <vertAlign val="superscript"/>
      <sz val="3.85"/>
      <color rgb="FF1A7FC3"/>
      <name val="Merriweather"/>
    </font>
    <font>
      <i/>
      <vertAlign val="superscript"/>
      <sz val="3.85"/>
      <color rgb="FF000000"/>
      <name val="Merriweather"/>
    </font>
    <font>
      <i/>
      <vertAlign val="superscript"/>
      <sz val="3.85"/>
      <color rgb="FF1A7FC3"/>
      <name val="Merriweather"/>
    </font>
    <font>
      <vertAlign val="superscript"/>
      <sz val="7"/>
      <color rgb="FF000000"/>
      <name val="Merriweather"/>
    </font>
    <font>
      <vertAlign val="subscript"/>
      <sz val="7"/>
      <color rgb="FF000000"/>
      <name val="Merriweather"/>
    </font>
    <font>
      <u/>
      <sz val="11"/>
      <color theme="10"/>
      <name val="Aptos Narrow"/>
      <family val="2"/>
      <scheme val="minor"/>
    </font>
    <font>
      <sz val="11"/>
      <color theme="1"/>
      <name val="Arial"/>
      <family val="2"/>
    </font>
    <font>
      <b/>
      <sz val="11"/>
      <color theme="1"/>
      <name val="Arial"/>
      <family val="2"/>
    </font>
    <font>
      <b/>
      <sz val="14"/>
      <color theme="1"/>
      <name val="Aptos Narrow"/>
      <family val="2"/>
      <scheme val="minor"/>
    </font>
    <font>
      <sz val="11"/>
      <color rgb="FF393E47"/>
      <name val="Arial"/>
      <family val="2"/>
    </font>
  </fonts>
  <fills count="13">
    <fill>
      <patternFill patternType="none"/>
    </fill>
    <fill>
      <patternFill patternType="gray125"/>
    </fill>
    <fill>
      <patternFill patternType="solid">
        <fgColor rgb="FFFFCC99"/>
      </patternFill>
    </fill>
    <fill>
      <patternFill patternType="solid">
        <fgColor rgb="FFF2F2F2"/>
      </patternFill>
    </fill>
    <fill>
      <patternFill patternType="solid">
        <fgColor theme="9"/>
      </patternFill>
    </fill>
    <fill>
      <patternFill patternType="solid">
        <fgColor theme="4" tint="0.79998168889431442"/>
        <bgColor indexed="64"/>
      </patternFill>
    </fill>
    <fill>
      <patternFill patternType="solid">
        <fgColor theme="5" tint="0.79998168889431442"/>
        <bgColor indexed="64"/>
      </patternFill>
    </fill>
    <fill>
      <patternFill patternType="solid">
        <fgColor rgb="FFFFFF00"/>
        <bgColor indexed="64"/>
      </patternFill>
    </fill>
    <fill>
      <patternFill patternType="solid">
        <fgColor theme="9" tint="0.79998168889431442"/>
        <bgColor indexed="64"/>
      </patternFill>
    </fill>
    <fill>
      <patternFill patternType="solid">
        <fgColor rgb="FFFFFFFF"/>
        <bgColor indexed="64"/>
      </patternFill>
    </fill>
    <fill>
      <patternFill patternType="solid">
        <fgColor rgb="FFFFEBAD"/>
        <bgColor indexed="64"/>
      </patternFill>
    </fill>
    <fill>
      <patternFill patternType="solid">
        <fgColor rgb="FFE0E0E0"/>
        <bgColor indexed="64"/>
      </patternFill>
    </fill>
    <fill>
      <patternFill patternType="solid">
        <fgColor rgb="FFEEEEEE"/>
        <bgColor indexed="64"/>
      </patternFill>
    </fill>
  </fills>
  <borders count="37">
    <border>
      <left/>
      <right/>
      <top/>
      <bottom/>
      <diagonal/>
    </border>
    <border>
      <left/>
      <right/>
      <top/>
      <bottom style="thick">
        <color theme="4"/>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7F7F7F"/>
      </left>
      <right style="thin">
        <color rgb="FF7F7F7F"/>
      </right>
      <top style="thin">
        <color rgb="FF7F7F7F"/>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style="double">
        <color theme="4"/>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top style="thick">
        <color indexed="64"/>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medium">
        <color theme="4" tint="0.39997558519241921"/>
      </bottom>
      <diagonal/>
    </border>
    <border>
      <left style="thin">
        <color rgb="FF7F7F7F"/>
      </left>
      <right style="thin">
        <color indexed="64"/>
      </right>
      <top style="thin">
        <color rgb="FF7F7F7F"/>
      </top>
      <bottom style="thin">
        <color rgb="FF7F7F7F"/>
      </bottom>
      <diagonal/>
    </border>
    <border>
      <left style="thin">
        <color rgb="FF3F3F3F"/>
      </left>
      <right style="thin">
        <color indexed="64"/>
      </right>
      <top style="thin">
        <color rgb="FF3F3F3F"/>
      </top>
      <bottom style="thin">
        <color rgb="FF3F3F3F"/>
      </bottom>
      <diagonal/>
    </border>
    <border>
      <left style="thin">
        <color indexed="64"/>
      </left>
      <right/>
      <top/>
      <bottom style="thin">
        <color indexed="64"/>
      </bottom>
      <diagonal/>
    </border>
    <border>
      <left style="thin">
        <color rgb="FF7F7F7F"/>
      </left>
      <right style="thin">
        <color indexed="64"/>
      </right>
      <top style="thin">
        <color rgb="FF7F7F7F"/>
      </top>
      <bottom style="thin">
        <color indexed="64"/>
      </bottom>
      <diagonal/>
    </border>
    <border>
      <left style="thin">
        <color indexed="64"/>
      </left>
      <right/>
      <top/>
      <bottom style="thick">
        <color theme="4"/>
      </bottom>
      <diagonal/>
    </border>
    <border>
      <left/>
      <right style="thin">
        <color indexed="64"/>
      </right>
      <top/>
      <bottom style="thin">
        <color indexed="64"/>
      </bottom>
      <diagonal/>
    </border>
    <border>
      <left style="thin">
        <color rgb="FF3F3F3F"/>
      </left>
      <right style="thin">
        <color rgb="FF3F3F3F"/>
      </right>
      <top style="thin">
        <color rgb="FF3F3F3F"/>
      </top>
      <bottom style="thin">
        <color indexed="64"/>
      </bottom>
      <diagonal/>
    </border>
    <border>
      <left style="thin">
        <color rgb="FFCC6600"/>
      </left>
      <right style="thin">
        <color rgb="FFCC6600"/>
      </right>
      <top style="thin">
        <color rgb="FFCC6600"/>
      </top>
      <bottom style="thin">
        <color rgb="FFCC6600"/>
      </bottom>
      <diagonal/>
    </border>
    <border>
      <left style="thin">
        <color rgb="FFCC6600"/>
      </left>
      <right/>
      <top/>
      <bottom/>
      <diagonal/>
    </border>
    <border>
      <left/>
      <right style="thin">
        <color rgb="FFCC6600"/>
      </right>
      <top/>
      <bottom/>
      <diagonal/>
    </border>
    <border>
      <left style="thin">
        <color rgb="FFCC6600"/>
      </left>
      <right/>
      <top/>
      <bottom style="thin">
        <color rgb="FFCC6600"/>
      </bottom>
      <diagonal/>
    </border>
    <border>
      <left/>
      <right style="thin">
        <color rgb="FFCC6600"/>
      </right>
      <top/>
      <bottom style="thin">
        <color rgb="FFCC6600"/>
      </bottom>
      <diagonal/>
    </border>
    <border>
      <left/>
      <right/>
      <top/>
      <bottom style="thin">
        <color rgb="FFCC6600"/>
      </bottom>
      <diagonal/>
    </border>
  </borders>
  <cellStyleXfs count="12">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1" applyNumberFormat="0" applyFill="0" applyAlignment="0" applyProtection="0"/>
    <xf numFmtId="0" fontId="3" fillId="0" borderId="2" applyNumberFormat="0" applyFill="0" applyAlignment="0" applyProtection="0"/>
    <xf numFmtId="0" fontId="4" fillId="2" borderId="3" applyNumberFormat="0" applyAlignment="0" applyProtection="0"/>
    <xf numFmtId="0" fontId="5" fillId="3" borderId="4" applyNumberFormat="0" applyAlignment="0" applyProtection="0"/>
    <xf numFmtId="0" fontId="6" fillId="3" borderId="3" applyNumberFormat="0" applyAlignment="0" applyProtection="0"/>
    <xf numFmtId="0" fontId="8" fillId="0" borderId="5" applyNumberFormat="0" applyFill="0" applyAlignment="0" applyProtection="0"/>
    <xf numFmtId="0" fontId="9" fillId="4" borderId="0" applyNumberFormat="0" applyBorder="0" applyAlignment="0" applyProtection="0"/>
    <xf numFmtId="170" fontId="1" fillId="0" borderId="0" applyFont="0" applyFill="0" applyBorder="0" applyAlignment="0" applyProtection="0"/>
    <xf numFmtId="0" fontId="32" fillId="0" borderId="0" applyNumberFormat="0" applyFill="0" applyBorder="0" applyAlignment="0" applyProtection="0"/>
  </cellStyleXfs>
  <cellXfs count="196">
    <xf numFmtId="0" fontId="0" fillId="0" borderId="0" xfId="0"/>
    <xf numFmtId="0" fontId="3" fillId="0" borderId="2" xfId="4"/>
    <xf numFmtId="164" fontId="4" fillId="2" borderId="3" xfId="1" applyNumberFormat="1" applyFont="1" applyFill="1" applyBorder="1"/>
    <xf numFmtId="0" fontId="3" fillId="0" borderId="2" xfId="4" applyAlignment="1">
      <alignment horizontal="center"/>
    </xf>
    <xf numFmtId="165" fontId="4" fillId="2" borderId="3" xfId="1" applyNumberFormat="1" applyFont="1" applyFill="1" applyBorder="1"/>
    <xf numFmtId="166" fontId="4" fillId="2" borderId="3" xfId="1" applyNumberFormat="1" applyFont="1" applyFill="1" applyBorder="1"/>
    <xf numFmtId="167" fontId="4" fillId="2" borderId="3" xfId="1" applyNumberFormat="1" applyFont="1" applyFill="1" applyBorder="1"/>
    <xf numFmtId="0" fontId="0" fillId="0" borderId="0" xfId="0" applyAlignment="1">
      <alignment horizontal="center"/>
    </xf>
    <xf numFmtId="164" fontId="6" fillId="3" borderId="3" xfId="1" applyNumberFormat="1" applyFont="1" applyFill="1" applyBorder="1"/>
    <xf numFmtId="167" fontId="6" fillId="3" borderId="3" xfId="1" applyNumberFormat="1" applyFont="1" applyFill="1" applyBorder="1"/>
    <xf numFmtId="164" fontId="5" fillId="3" borderId="4" xfId="1" applyNumberFormat="1" applyFont="1" applyFill="1" applyBorder="1"/>
    <xf numFmtId="43" fontId="5" fillId="3" borderId="4" xfId="1" applyFont="1" applyFill="1" applyBorder="1"/>
    <xf numFmtId="168" fontId="5" fillId="3" borderId="4" xfId="1" applyNumberFormat="1" applyFont="1" applyFill="1" applyBorder="1"/>
    <xf numFmtId="43" fontId="0" fillId="0" borderId="0" xfId="0" applyNumberFormat="1"/>
    <xf numFmtId="43" fontId="5" fillId="3" borderId="4" xfId="6" applyNumberFormat="1"/>
    <xf numFmtId="169" fontId="5" fillId="3" borderId="4" xfId="1" applyNumberFormat="1" applyFont="1" applyFill="1" applyBorder="1"/>
    <xf numFmtId="0" fontId="5" fillId="3" borderId="4" xfId="6"/>
    <xf numFmtId="170" fontId="0" fillId="0" borderId="0" xfId="0" applyNumberFormat="1" applyAlignment="1">
      <alignment horizontal="center"/>
    </xf>
    <xf numFmtId="0" fontId="8" fillId="0" borderId="0" xfId="0" applyFont="1" applyAlignment="1">
      <alignment horizontal="center"/>
    </xf>
    <xf numFmtId="0" fontId="4" fillId="2" borderId="3" xfId="5"/>
    <xf numFmtId="171" fontId="6" fillId="3" borderId="3" xfId="1" applyNumberFormat="1" applyFont="1" applyFill="1" applyBorder="1"/>
    <xf numFmtId="171" fontId="6" fillId="3" borderId="3" xfId="7" applyNumberFormat="1"/>
    <xf numFmtId="164" fontId="5" fillId="3" borderId="4" xfId="6" applyNumberFormat="1"/>
    <xf numFmtId="170" fontId="0" fillId="0" borderId="0" xfId="0" applyNumberFormat="1"/>
    <xf numFmtId="169" fontId="6" fillId="3" borderId="3" xfId="1" applyNumberFormat="1" applyFont="1" applyFill="1" applyBorder="1"/>
    <xf numFmtId="0" fontId="8" fillId="0" borderId="0" xfId="0" quotePrefix="1" applyFont="1"/>
    <xf numFmtId="43" fontId="4" fillId="2" borderId="3" xfId="1" applyFont="1" applyFill="1" applyBorder="1"/>
    <xf numFmtId="172" fontId="0" fillId="0" borderId="0" xfId="0" applyNumberFormat="1"/>
    <xf numFmtId="173" fontId="6" fillId="3" borderId="3" xfId="1" applyNumberFormat="1" applyFont="1" applyFill="1" applyBorder="1"/>
    <xf numFmtId="174" fontId="6" fillId="3" borderId="3" xfId="7" applyNumberFormat="1"/>
    <xf numFmtId="166" fontId="0" fillId="0" borderId="0" xfId="1" applyNumberFormat="1" applyFont="1"/>
    <xf numFmtId="169" fontId="4" fillId="2" borderId="3" xfId="1" applyNumberFormat="1" applyFont="1" applyFill="1" applyBorder="1"/>
    <xf numFmtId="169" fontId="4" fillId="2" borderId="0" xfId="1" applyNumberFormat="1" applyFont="1" applyFill="1" applyBorder="1"/>
    <xf numFmtId="175" fontId="4" fillId="2" borderId="3" xfId="1" applyNumberFormat="1" applyFont="1" applyFill="1" applyBorder="1"/>
    <xf numFmtId="170" fontId="6" fillId="3" borderId="3" xfId="7" applyNumberFormat="1"/>
    <xf numFmtId="176" fontId="6" fillId="3" borderId="3" xfId="7" applyNumberFormat="1"/>
    <xf numFmtId="177" fontId="5" fillId="3" borderId="4" xfId="6" applyNumberFormat="1"/>
    <xf numFmtId="175" fontId="4" fillId="2" borderId="3" xfId="5" applyNumberFormat="1"/>
    <xf numFmtId="172" fontId="6" fillId="3" borderId="3" xfId="7" applyNumberFormat="1"/>
    <xf numFmtId="0" fontId="2" fillId="0" borderId="1" xfId="3"/>
    <xf numFmtId="175" fontId="0" fillId="0" borderId="0" xfId="0" applyNumberFormat="1"/>
    <xf numFmtId="177" fontId="6" fillId="3" borderId="3" xfId="7" applyNumberFormat="1"/>
    <xf numFmtId="0" fontId="3" fillId="0" borderId="2" xfId="4" applyFill="1"/>
    <xf numFmtId="175" fontId="6" fillId="3" borderId="3" xfId="7" applyNumberFormat="1"/>
    <xf numFmtId="0" fontId="4" fillId="2" borderId="6" xfId="5" applyBorder="1"/>
    <xf numFmtId="43" fontId="6" fillId="3" borderId="3" xfId="1" applyFont="1" applyFill="1" applyBorder="1"/>
    <xf numFmtId="178" fontId="4" fillId="2" borderId="3" xfId="5" applyNumberFormat="1"/>
    <xf numFmtId="179" fontId="6" fillId="3" borderId="3" xfId="7" applyNumberFormat="1"/>
    <xf numFmtId="0" fontId="8" fillId="0" borderId="5" xfId="8"/>
    <xf numFmtId="180" fontId="0" fillId="0" borderId="0" xfId="10" applyNumberFormat="1" applyFont="1"/>
    <xf numFmtId="170" fontId="4" fillId="2" borderId="3" xfId="5" applyNumberFormat="1"/>
    <xf numFmtId="0" fontId="12" fillId="0" borderId="0" xfId="0" applyFont="1" applyAlignment="1">
      <alignment horizontal="center"/>
    </xf>
    <xf numFmtId="10" fontId="4" fillId="2" borderId="3" xfId="5" applyNumberFormat="1"/>
    <xf numFmtId="181" fontId="4" fillId="2" borderId="3" xfId="5" applyNumberFormat="1"/>
    <xf numFmtId="181" fontId="6" fillId="3" borderId="3" xfId="7" applyNumberFormat="1"/>
    <xf numFmtId="43" fontId="0" fillId="0" borderId="0" xfId="1" applyFont="1"/>
    <xf numFmtId="182" fontId="0" fillId="0" borderId="0" xfId="0" applyNumberFormat="1"/>
    <xf numFmtId="0" fontId="0" fillId="0" borderId="7" xfId="0" applyBorder="1"/>
    <xf numFmtId="0" fontId="8" fillId="0" borderId="9" xfId="8" applyBorder="1"/>
    <xf numFmtId="183" fontId="0" fillId="0" borderId="10" xfId="10" applyNumberFormat="1" applyFont="1" applyBorder="1"/>
    <xf numFmtId="0" fontId="0" fillId="0" borderId="10" xfId="0" applyBorder="1"/>
    <xf numFmtId="183" fontId="0" fillId="0" borderId="8" xfId="10" applyNumberFormat="1" applyFont="1" applyBorder="1"/>
    <xf numFmtId="0" fontId="0" fillId="0" borderId="11" xfId="0" applyBorder="1"/>
    <xf numFmtId="0" fontId="0" fillId="0" borderId="12" xfId="0" applyBorder="1"/>
    <xf numFmtId="0" fontId="7" fillId="4" borderId="0" xfId="9" applyFont="1"/>
    <xf numFmtId="184" fontId="0" fillId="0" borderId="0" xfId="10" applyNumberFormat="1" applyFont="1"/>
    <xf numFmtId="184" fontId="0" fillId="0" borderId="12" xfId="10" applyNumberFormat="1" applyFont="1" applyBorder="1"/>
    <xf numFmtId="168" fontId="0" fillId="0" borderId="0" xfId="1" applyNumberFormat="1" applyFont="1"/>
    <xf numFmtId="168" fontId="6" fillId="3" borderId="3" xfId="7" applyNumberFormat="1"/>
    <xf numFmtId="185" fontId="0" fillId="0" borderId="0" xfId="10" applyNumberFormat="1" applyFont="1"/>
    <xf numFmtId="185" fontId="0" fillId="0" borderId="12" xfId="10" applyNumberFormat="1" applyFont="1" applyBorder="1"/>
    <xf numFmtId="186" fontId="0" fillId="0" borderId="0" xfId="0" applyNumberFormat="1"/>
    <xf numFmtId="0" fontId="0" fillId="0" borderId="13" xfId="0" applyBorder="1"/>
    <xf numFmtId="0" fontId="8" fillId="0" borderId="15" xfId="0" applyFont="1" applyBorder="1" applyAlignment="1">
      <alignment horizontal="center"/>
    </xf>
    <xf numFmtId="0" fontId="0" fillId="0" borderId="15" xfId="0" applyBorder="1"/>
    <xf numFmtId="0" fontId="0" fillId="0" borderId="14" xfId="0" applyBorder="1"/>
    <xf numFmtId="0" fontId="13" fillId="0" borderId="0" xfId="0" applyFont="1" applyAlignment="1">
      <alignment horizontal="center" vertical="center"/>
    </xf>
    <xf numFmtId="168" fontId="0" fillId="0" borderId="0" xfId="0" applyNumberFormat="1"/>
    <xf numFmtId="172" fontId="0" fillId="0" borderId="10" xfId="10" applyNumberFormat="1" applyFont="1" applyBorder="1"/>
    <xf numFmtId="172" fontId="0" fillId="0" borderId="8" xfId="10" applyNumberFormat="1" applyFont="1" applyBorder="1"/>
    <xf numFmtId="170" fontId="0" fillId="0" borderId="0" xfId="10" applyFont="1"/>
    <xf numFmtId="181" fontId="0" fillId="0" borderId="12" xfId="10" applyNumberFormat="1" applyFont="1" applyBorder="1"/>
    <xf numFmtId="187" fontId="0" fillId="0" borderId="0" xfId="0" applyNumberFormat="1"/>
    <xf numFmtId="181" fontId="0" fillId="0" borderId="12" xfId="0" applyNumberFormat="1" applyBorder="1"/>
    <xf numFmtId="182" fontId="3" fillId="0" borderId="2" xfId="4" applyNumberFormat="1"/>
    <xf numFmtId="10" fontId="0" fillId="0" borderId="0" xfId="2" applyNumberFormat="1" applyFont="1"/>
    <xf numFmtId="0" fontId="7" fillId="4" borderId="16" xfId="9" applyFont="1" applyBorder="1"/>
    <xf numFmtId="188" fontId="0" fillId="0" borderId="0" xfId="10" applyNumberFormat="1" applyFont="1"/>
    <xf numFmtId="189" fontId="0" fillId="0" borderId="12" xfId="10" applyNumberFormat="1" applyFont="1" applyBorder="1"/>
    <xf numFmtId="190" fontId="0" fillId="0" borderId="0" xfId="1" applyNumberFormat="1" applyFont="1"/>
    <xf numFmtId="182" fontId="6" fillId="3" borderId="3" xfId="7" applyNumberFormat="1"/>
    <xf numFmtId="191" fontId="0" fillId="0" borderId="0" xfId="0" applyNumberFormat="1"/>
    <xf numFmtId="189" fontId="0" fillId="0" borderId="0" xfId="10" applyNumberFormat="1" applyFont="1"/>
    <xf numFmtId="167" fontId="0" fillId="0" borderId="0" xfId="0" applyNumberFormat="1"/>
    <xf numFmtId="169" fontId="0" fillId="0" borderId="0" xfId="0" applyNumberFormat="1"/>
    <xf numFmtId="188" fontId="0" fillId="0" borderId="0" xfId="0" applyNumberFormat="1"/>
    <xf numFmtId="192" fontId="0" fillId="0" borderId="0" xfId="0" applyNumberFormat="1"/>
    <xf numFmtId="0" fontId="6" fillId="3" borderId="3" xfId="7"/>
    <xf numFmtId="172" fontId="4" fillId="2" borderId="3" xfId="5" applyNumberFormat="1"/>
    <xf numFmtId="187" fontId="6" fillId="3" borderId="3" xfId="7" applyNumberFormat="1"/>
    <xf numFmtId="172" fontId="5" fillId="3" borderId="4" xfId="6" applyNumberFormat="1"/>
    <xf numFmtId="0" fontId="0" fillId="0" borderId="0" xfId="0" quotePrefix="1"/>
    <xf numFmtId="43" fontId="4" fillId="2" borderId="3" xfId="5" applyNumberFormat="1"/>
    <xf numFmtId="167" fontId="6" fillId="3" borderId="3" xfId="7" applyNumberFormat="1"/>
    <xf numFmtId="166" fontId="6" fillId="3" borderId="3" xfId="1" applyNumberFormat="1" applyFont="1" applyFill="1" applyBorder="1"/>
    <xf numFmtId="166" fontId="5" fillId="3" borderId="4" xfId="6" applyNumberFormat="1"/>
    <xf numFmtId="169" fontId="5" fillId="3" borderId="4" xfId="6" applyNumberFormat="1"/>
    <xf numFmtId="0" fontId="15" fillId="0" borderId="17" xfId="0" applyFont="1" applyBorder="1"/>
    <xf numFmtId="0" fontId="15" fillId="0" borderId="0" xfId="0" applyFont="1"/>
    <xf numFmtId="0" fontId="16" fillId="0" borderId="17" xfId="0" applyFont="1" applyBorder="1"/>
    <xf numFmtId="0" fontId="16" fillId="0" borderId="0" xfId="0" applyFont="1"/>
    <xf numFmtId="0" fontId="8" fillId="0" borderId="17" xfId="0" applyFont="1" applyBorder="1"/>
    <xf numFmtId="0" fontId="0" fillId="0" borderId="17" xfId="0" applyBorder="1"/>
    <xf numFmtId="0" fontId="0" fillId="7" borderId="0" xfId="0" applyFill="1"/>
    <xf numFmtId="0" fontId="8" fillId="0" borderId="0" xfId="0" applyFont="1"/>
    <xf numFmtId="0" fontId="17" fillId="8" borderId="0" xfId="0" quotePrefix="1" applyFont="1" applyFill="1"/>
    <xf numFmtId="0" fontId="18" fillId="0" borderId="0" xfId="0" applyFont="1"/>
    <xf numFmtId="0" fontId="18" fillId="8" borderId="0" xfId="0" quotePrefix="1" applyFont="1" applyFill="1"/>
    <xf numFmtId="0" fontId="19" fillId="0" borderId="0" xfId="0" quotePrefix="1" applyFont="1" applyAlignment="1">
      <alignment horizontal="left" indent="1"/>
    </xf>
    <xf numFmtId="0" fontId="18" fillId="0" borderId="7" xfId="0" applyFont="1" applyBorder="1"/>
    <xf numFmtId="0" fontId="18" fillId="8" borderId="10" xfId="0" quotePrefix="1" applyFont="1" applyFill="1" applyBorder="1"/>
    <xf numFmtId="0" fontId="18" fillId="0" borderId="10" xfId="0" applyFont="1" applyBorder="1"/>
    <xf numFmtId="0" fontId="0" fillId="0" borderId="8" xfId="0" quotePrefix="1" applyBorder="1"/>
    <xf numFmtId="0" fontId="19" fillId="0" borderId="13" xfId="0" quotePrefix="1" applyFont="1" applyBorder="1" applyAlignment="1">
      <alignment horizontal="left" indent="1"/>
    </xf>
    <xf numFmtId="0" fontId="0" fillId="0" borderId="18" xfId="0" applyBorder="1"/>
    <xf numFmtId="0" fontId="0" fillId="0" borderId="19" xfId="0" applyBorder="1"/>
    <xf numFmtId="0" fontId="0" fillId="0" borderId="20" xfId="0" applyBorder="1"/>
    <xf numFmtId="0" fontId="0" fillId="0" borderId="21" xfId="0" applyBorder="1"/>
    <xf numFmtId="0" fontId="0" fillId="0" borderId="22" xfId="0" applyBorder="1"/>
    <xf numFmtId="0" fontId="3" fillId="0" borderId="23" xfId="4" applyBorder="1"/>
    <xf numFmtId="169" fontId="6" fillId="3" borderId="24" xfId="1" applyNumberFormat="1" applyFont="1" applyFill="1" applyBorder="1"/>
    <xf numFmtId="169" fontId="5" fillId="3" borderId="25" xfId="1" applyNumberFormat="1" applyFont="1" applyFill="1" applyBorder="1"/>
    <xf numFmtId="0" fontId="5" fillId="3" borderId="25" xfId="6" applyBorder="1"/>
    <xf numFmtId="173" fontId="6" fillId="3" borderId="24" xfId="1" applyNumberFormat="1" applyFont="1" applyFill="1" applyBorder="1"/>
    <xf numFmtId="0" fontId="0" fillId="0" borderId="26" xfId="0" applyBorder="1"/>
    <xf numFmtId="0" fontId="3" fillId="0" borderId="17" xfId="4" applyBorder="1"/>
    <xf numFmtId="174" fontId="6" fillId="3" borderId="27" xfId="7" applyNumberFormat="1" applyBorder="1"/>
    <xf numFmtId="43" fontId="0" fillId="0" borderId="22" xfId="0" applyNumberFormat="1" applyBorder="1"/>
    <xf numFmtId="0" fontId="0" fillId="0" borderId="29" xfId="0" applyBorder="1"/>
    <xf numFmtId="43" fontId="5" fillId="3" borderId="30" xfId="6" applyNumberFormat="1" applyBorder="1"/>
    <xf numFmtId="0" fontId="0" fillId="0" borderId="17" xfId="0" applyBorder="1" applyAlignment="1">
      <alignment horizontal="center"/>
    </xf>
    <xf numFmtId="0" fontId="20" fillId="0" borderId="0" xfId="0" applyFont="1"/>
    <xf numFmtId="0" fontId="0" fillId="9" borderId="0" xfId="0" applyFill="1"/>
    <xf numFmtId="0" fontId="21" fillId="9" borderId="0" xfId="0" applyFont="1" applyFill="1" applyAlignment="1">
      <alignment horizontal="center" vertical="center" wrapText="1"/>
    </xf>
    <xf numFmtId="0" fontId="22" fillId="9" borderId="0" xfId="0" applyFont="1" applyFill="1" applyAlignment="1">
      <alignment vertical="center" wrapText="1"/>
    </xf>
    <xf numFmtId="0" fontId="24" fillId="9" borderId="0" xfId="0" applyFont="1" applyFill="1" applyAlignment="1">
      <alignment vertical="center" wrapText="1"/>
    </xf>
    <xf numFmtId="0" fontId="32" fillId="9" borderId="0" xfId="11" applyFill="1" applyAlignment="1">
      <alignment vertical="center" wrapText="1"/>
    </xf>
    <xf numFmtId="0" fontId="25" fillId="9" borderId="0" xfId="0" applyFont="1" applyFill="1" applyAlignment="1">
      <alignment vertical="center" wrapText="1"/>
    </xf>
    <xf numFmtId="3" fontId="22" fillId="9" borderId="0" xfId="0" applyNumberFormat="1" applyFont="1" applyFill="1" applyAlignment="1">
      <alignment vertical="center" wrapText="1"/>
    </xf>
    <xf numFmtId="4" fontId="22" fillId="9" borderId="0" xfId="0" applyNumberFormat="1" applyFont="1" applyFill="1" applyAlignment="1">
      <alignment vertical="center" wrapText="1"/>
    </xf>
    <xf numFmtId="4" fontId="21" fillId="10" borderId="0" xfId="0" applyNumberFormat="1" applyFont="1" applyFill="1" applyAlignment="1">
      <alignment vertical="center" wrapText="1"/>
    </xf>
    <xf numFmtId="0" fontId="22" fillId="10" borderId="0" xfId="0" applyFont="1" applyFill="1" applyAlignment="1">
      <alignment vertical="center" wrapText="1"/>
    </xf>
    <xf numFmtId="0" fontId="32" fillId="10" borderId="0" xfId="11" applyFill="1" applyAlignment="1">
      <alignment vertical="center" wrapText="1"/>
    </xf>
    <xf numFmtId="3" fontId="21" fillId="10" borderId="0" xfId="0" applyNumberFormat="1" applyFont="1" applyFill="1" applyAlignment="1">
      <alignment vertical="center" wrapText="1"/>
    </xf>
    <xf numFmtId="4" fontId="22" fillId="11" borderId="0" xfId="0" applyNumberFormat="1" applyFont="1" applyFill="1" applyAlignment="1">
      <alignment vertical="center" wrapText="1"/>
    </xf>
    <xf numFmtId="0" fontId="22" fillId="11" borderId="0" xfId="0" applyFont="1" applyFill="1" applyAlignment="1">
      <alignment vertical="center" wrapText="1"/>
    </xf>
    <xf numFmtId="0" fontId="23" fillId="9" borderId="0" xfId="0" applyFont="1" applyFill="1" applyAlignment="1">
      <alignment vertical="center" wrapText="1"/>
    </xf>
    <xf numFmtId="0" fontId="30" fillId="9" borderId="0" xfId="0" applyFont="1" applyFill="1" applyAlignment="1">
      <alignment vertical="center" wrapText="1"/>
    </xf>
    <xf numFmtId="3" fontId="22" fillId="11" borderId="0" xfId="0" applyNumberFormat="1" applyFont="1" applyFill="1" applyAlignment="1">
      <alignment vertical="center" wrapText="1"/>
    </xf>
    <xf numFmtId="3" fontId="0" fillId="0" borderId="0" xfId="0" applyNumberFormat="1"/>
    <xf numFmtId="4" fontId="0" fillId="0" borderId="0" xfId="0" applyNumberFormat="1"/>
    <xf numFmtId="0" fontId="33" fillId="12" borderId="31" xfId="0" applyFont="1" applyFill="1" applyBorder="1" applyAlignment="1">
      <alignment vertical="center" wrapText="1"/>
    </xf>
    <xf numFmtId="0" fontId="0" fillId="12" borderId="32" xfId="0" applyFill="1" applyBorder="1"/>
    <xf numFmtId="0" fontId="0" fillId="12" borderId="33" xfId="0" applyFill="1" applyBorder="1"/>
    <xf numFmtId="0" fontId="0" fillId="12" borderId="34" xfId="0" applyFill="1" applyBorder="1"/>
    <xf numFmtId="0" fontId="0" fillId="12" borderId="35" xfId="0" applyFill="1" applyBorder="1"/>
    <xf numFmtId="0" fontId="35" fillId="0" borderId="0" xfId="0" applyFont="1"/>
    <xf numFmtId="3" fontId="36" fillId="7" borderId="0" xfId="0" applyNumberFormat="1" applyFont="1" applyFill="1"/>
    <xf numFmtId="0" fontId="10" fillId="0" borderId="23" xfId="4" applyFont="1" applyFill="1" applyBorder="1" applyAlignment="1">
      <alignment horizontal="center"/>
    </xf>
    <xf numFmtId="0" fontId="10" fillId="0" borderId="2" xfId="4" applyFont="1" applyFill="1" applyAlignment="1">
      <alignment horizontal="center"/>
    </xf>
    <xf numFmtId="0" fontId="10" fillId="0" borderId="2" xfId="4" applyFont="1" applyAlignment="1">
      <alignment horizontal="center"/>
    </xf>
    <xf numFmtId="0" fontId="8" fillId="0" borderId="21" xfId="0" applyFont="1" applyBorder="1" applyAlignment="1">
      <alignment horizontal="center"/>
    </xf>
    <xf numFmtId="0" fontId="8" fillId="0" borderId="0" xfId="0" applyFont="1" applyAlignment="1">
      <alignment horizontal="center"/>
    </xf>
    <xf numFmtId="0" fontId="2" fillId="0" borderId="28" xfId="3" applyBorder="1" applyAlignment="1">
      <alignment horizontal="center"/>
    </xf>
    <xf numFmtId="0" fontId="2" fillId="0" borderId="1" xfId="3" applyAlignment="1">
      <alignment horizontal="center"/>
    </xf>
    <xf numFmtId="0" fontId="33" fillId="12" borderId="0" xfId="0" applyFont="1" applyFill="1" applyAlignment="1">
      <alignment vertical="center" wrapText="1"/>
    </xf>
    <xf numFmtId="0" fontId="34" fillId="12" borderId="36" xfId="0" applyFont="1" applyFill="1" applyBorder="1" applyAlignment="1">
      <alignment vertical="top" wrapText="1"/>
    </xf>
    <xf numFmtId="0" fontId="25" fillId="9" borderId="0" xfId="0" applyFont="1" applyFill="1" applyAlignment="1">
      <alignment vertical="center" wrapText="1"/>
    </xf>
    <xf numFmtId="3" fontId="22" fillId="9" borderId="0" xfId="0" applyNumberFormat="1" applyFont="1" applyFill="1" applyAlignment="1">
      <alignment vertical="center" wrapText="1"/>
    </xf>
    <xf numFmtId="0" fontId="22" fillId="9" borderId="0" xfId="0" applyFont="1" applyFill="1" applyAlignment="1">
      <alignment vertical="center" wrapText="1"/>
    </xf>
    <xf numFmtId="4" fontId="22" fillId="9" borderId="0" xfId="0" applyNumberFormat="1" applyFont="1" applyFill="1" applyAlignment="1">
      <alignment vertical="center" wrapText="1"/>
    </xf>
    <xf numFmtId="0" fontId="32" fillId="9" borderId="0" xfId="11" applyFill="1" applyAlignment="1">
      <alignment vertical="center" wrapText="1"/>
    </xf>
    <xf numFmtId="0" fontId="13" fillId="5" borderId="7" xfId="0" applyFont="1" applyFill="1" applyBorder="1" applyAlignment="1">
      <alignment horizontal="center" vertical="center"/>
    </xf>
    <xf numFmtId="0" fontId="13" fillId="5" borderId="8" xfId="0" applyFont="1" applyFill="1" applyBorder="1" applyAlignment="1">
      <alignment horizontal="center" vertical="center"/>
    </xf>
    <xf numFmtId="0" fontId="13" fillId="5" borderId="11" xfId="0" applyFont="1" applyFill="1" applyBorder="1" applyAlignment="1">
      <alignment horizontal="center" vertical="center"/>
    </xf>
    <xf numFmtId="0" fontId="13" fillId="5" borderId="12" xfId="0" applyFont="1" applyFill="1" applyBorder="1" applyAlignment="1">
      <alignment horizontal="center" vertical="center"/>
    </xf>
    <xf numFmtId="0" fontId="13" fillId="5" borderId="13" xfId="0" applyFont="1" applyFill="1" applyBorder="1" applyAlignment="1">
      <alignment horizontal="center" vertical="center"/>
    </xf>
    <xf numFmtId="0" fontId="13" fillId="5" borderId="14" xfId="0" applyFont="1" applyFill="1" applyBorder="1" applyAlignment="1">
      <alignment horizontal="center" vertical="center"/>
    </xf>
    <xf numFmtId="0" fontId="14" fillId="6" borderId="7" xfId="0" applyFont="1" applyFill="1" applyBorder="1" applyAlignment="1">
      <alignment horizontal="center" vertical="center"/>
    </xf>
    <xf numFmtId="0" fontId="14" fillId="6" borderId="8" xfId="0" applyFont="1" applyFill="1" applyBorder="1" applyAlignment="1">
      <alignment horizontal="center" vertical="center"/>
    </xf>
    <xf numFmtId="0" fontId="14" fillId="6" borderId="11" xfId="0" applyFont="1" applyFill="1" applyBorder="1" applyAlignment="1">
      <alignment horizontal="center" vertical="center"/>
    </xf>
    <xf numFmtId="0" fontId="14" fillId="6" borderId="12" xfId="0" applyFont="1" applyFill="1" applyBorder="1" applyAlignment="1">
      <alignment horizontal="center" vertical="center"/>
    </xf>
    <xf numFmtId="0" fontId="14" fillId="6" borderId="13" xfId="0" applyFont="1" applyFill="1" applyBorder="1" applyAlignment="1">
      <alignment horizontal="center" vertical="center"/>
    </xf>
    <xf numFmtId="0" fontId="14" fillId="6" borderId="14" xfId="0" applyFont="1" applyFill="1" applyBorder="1" applyAlignment="1">
      <alignment horizontal="center" vertical="center"/>
    </xf>
    <xf numFmtId="0" fontId="3" fillId="0" borderId="2" xfId="4" applyAlignment="1">
      <alignment horizontal="center"/>
    </xf>
    <xf numFmtId="0" fontId="3" fillId="0" borderId="2" xfId="4" applyFill="1" applyAlignment="1">
      <alignment horizontal="center"/>
    </xf>
  </cellXfs>
  <cellStyles count="12">
    <cellStyle name="Accent6" xfId="9" builtinId="49"/>
    <cellStyle name="Calculation" xfId="7" builtinId="22"/>
    <cellStyle name="Comma" xfId="1" builtinId="3"/>
    <cellStyle name="Comma 2" xfId="10" xr:uid="{2B0DE31E-5716-4FF7-95B1-B3FFEB4B853F}"/>
    <cellStyle name="Heading 1" xfId="3" builtinId="16"/>
    <cellStyle name="Heading 3" xfId="4" builtinId="18"/>
    <cellStyle name="Hyperlink" xfId="11" builtinId="8"/>
    <cellStyle name="Input" xfId="5" builtinId="20"/>
    <cellStyle name="Normal" xfId="0" builtinId="0"/>
    <cellStyle name="Output" xfId="6" builtinId="21"/>
    <cellStyle name="Percent" xfId="2" builtinId="5"/>
    <cellStyle name="Total" xfId="8" builtinId="2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externalLink" Target="externalLinks/externalLink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microsoft.com/office/2017/10/relationships/person" Target="persons/perso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ubbleChart>
        <c:varyColors val="0"/>
        <c:ser>
          <c:idx val="0"/>
          <c:order val="0"/>
          <c:tx>
            <c:strRef>
              <c:f>Sheet5!$D$1:$D$181</c:f>
              <c:strCache>
                <c:ptCount val="181"/>
                <c:pt idx="0">
                  <c:v> Angle</c:v>
                </c:pt>
                <c:pt idx="1">
                  <c:v>      1</c:v>
                </c:pt>
                <c:pt idx="2">
                  <c:v>      2  </c:v>
                </c:pt>
                <c:pt idx="3">
                  <c:v>      3  </c:v>
                </c:pt>
                <c:pt idx="4">
                  <c:v>      4  </c:v>
                </c:pt>
                <c:pt idx="5">
                  <c:v>      5  </c:v>
                </c:pt>
                <c:pt idx="6">
                  <c:v>      6  </c:v>
                </c:pt>
                <c:pt idx="7">
                  <c:v>      7  </c:v>
                </c:pt>
                <c:pt idx="8">
                  <c:v>      8  </c:v>
                </c:pt>
                <c:pt idx="9">
                  <c:v>      9  </c:v>
                </c:pt>
                <c:pt idx="10">
                  <c:v>    10  </c:v>
                </c:pt>
                <c:pt idx="11">
                  <c:v>    11  </c:v>
                </c:pt>
                <c:pt idx="12">
                  <c:v>    12  </c:v>
                </c:pt>
                <c:pt idx="13">
                  <c:v>    13  </c:v>
                </c:pt>
                <c:pt idx="14">
                  <c:v>    14  </c:v>
                </c:pt>
                <c:pt idx="15">
                  <c:v>    15  </c:v>
                </c:pt>
                <c:pt idx="16">
                  <c:v>    16  </c:v>
                </c:pt>
                <c:pt idx="17">
                  <c:v>    17  </c:v>
                </c:pt>
                <c:pt idx="18">
                  <c:v>    18  </c:v>
                </c:pt>
                <c:pt idx="19">
                  <c:v>    19  </c:v>
                </c:pt>
                <c:pt idx="20">
                  <c:v>    20  </c:v>
                </c:pt>
                <c:pt idx="21">
                  <c:v>    21  </c:v>
                </c:pt>
                <c:pt idx="22">
                  <c:v>    22  </c:v>
                </c:pt>
                <c:pt idx="23">
                  <c:v>    23  </c:v>
                </c:pt>
                <c:pt idx="24">
                  <c:v>    24  </c:v>
                </c:pt>
                <c:pt idx="25">
                  <c:v>    25  </c:v>
                </c:pt>
                <c:pt idx="26">
                  <c:v>    26  </c:v>
                </c:pt>
                <c:pt idx="27">
                  <c:v>    27  </c:v>
                </c:pt>
                <c:pt idx="28">
                  <c:v>    28  </c:v>
                </c:pt>
                <c:pt idx="29">
                  <c:v>    29  </c:v>
                </c:pt>
                <c:pt idx="30">
                  <c:v>    30  </c:v>
                </c:pt>
                <c:pt idx="31">
                  <c:v>    31  </c:v>
                </c:pt>
                <c:pt idx="32">
                  <c:v>    32  </c:v>
                </c:pt>
                <c:pt idx="33">
                  <c:v>    33  </c:v>
                </c:pt>
                <c:pt idx="34">
                  <c:v>    34  </c:v>
                </c:pt>
                <c:pt idx="35">
                  <c:v>    35  </c:v>
                </c:pt>
                <c:pt idx="36">
                  <c:v>    36  </c:v>
                </c:pt>
                <c:pt idx="37">
                  <c:v>    37  </c:v>
                </c:pt>
                <c:pt idx="38">
                  <c:v>    38  </c:v>
                </c:pt>
                <c:pt idx="39">
                  <c:v>    39  </c:v>
                </c:pt>
                <c:pt idx="40">
                  <c:v>    40  </c:v>
                </c:pt>
                <c:pt idx="41">
                  <c:v>    41  </c:v>
                </c:pt>
                <c:pt idx="42">
                  <c:v>    42  </c:v>
                </c:pt>
                <c:pt idx="43">
                  <c:v>    43  </c:v>
                </c:pt>
                <c:pt idx="44">
                  <c:v>    44  </c:v>
                </c:pt>
                <c:pt idx="45">
                  <c:v>    45  </c:v>
                </c:pt>
                <c:pt idx="46">
                  <c:v>    46  </c:v>
                </c:pt>
                <c:pt idx="47">
                  <c:v>    47  </c:v>
                </c:pt>
                <c:pt idx="48">
                  <c:v>    48  </c:v>
                </c:pt>
                <c:pt idx="49">
                  <c:v>    49  </c:v>
                </c:pt>
                <c:pt idx="50">
                  <c:v>    50  </c:v>
                </c:pt>
                <c:pt idx="51">
                  <c:v>    51  </c:v>
                </c:pt>
                <c:pt idx="52">
                  <c:v>    52  </c:v>
                </c:pt>
                <c:pt idx="53">
                  <c:v>    53  </c:v>
                </c:pt>
                <c:pt idx="54">
                  <c:v>    54  </c:v>
                </c:pt>
                <c:pt idx="55">
                  <c:v>    55  </c:v>
                </c:pt>
                <c:pt idx="56">
                  <c:v>    56  </c:v>
                </c:pt>
                <c:pt idx="57">
                  <c:v>    57  </c:v>
                </c:pt>
                <c:pt idx="58">
                  <c:v>    58  </c:v>
                </c:pt>
                <c:pt idx="59">
                  <c:v>    59  </c:v>
                </c:pt>
                <c:pt idx="61">
                  <c:v>    60  </c:v>
                </c:pt>
                <c:pt idx="62">
                  <c:v>    61  </c:v>
                </c:pt>
                <c:pt idx="63">
                  <c:v>    62  </c:v>
                </c:pt>
                <c:pt idx="64">
                  <c:v>    63  </c:v>
                </c:pt>
                <c:pt idx="65">
                  <c:v>    64  </c:v>
                </c:pt>
                <c:pt idx="66">
                  <c:v>    65  </c:v>
                </c:pt>
                <c:pt idx="67">
                  <c:v>    66  </c:v>
                </c:pt>
                <c:pt idx="68">
                  <c:v>    67  </c:v>
                </c:pt>
                <c:pt idx="69">
                  <c:v>    68  </c:v>
                </c:pt>
                <c:pt idx="70">
                  <c:v>    69  </c:v>
                </c:pt>
                <c:pt idx="71">
                  <c:v>    70  </c:v>
                </c:pt>
                <c:pt idx="72">
                  <c:v>    71  </c:v>
                </c:pt>
                <c:pt idx="73">
                  <c:v>    72  </c:v>
                </c:pt>
                <c:pt idx="74">
                  <c:v>    73  </c:v>
                </c:pt>
                <c:pt idx="75">
                  <c:v>    74  </c:v>
                </c:pt>
                <c:pt idx="76">
                  <c:v>    75  </c:v>
                </c:pt>
                <c:pt idx="77">
                  <c:v>    76  </c:v>
                </c:pt>
                <c:pt idx="78">
                  <c:v>    77  </c:v>
                </c:pt>
                <c:pt idx="79">
                  <c:v>    78  </c:v>
                </c:pt>
                <c:pt idx="80">
                  <c:v>    79  </c:v>
                </c:pt>
                <c:pt idx="81">
                  <c:v>    80  </c:v>
                </c:pt>
                <c:pt idx="82">
                  <c:v>    81  </c:v>
                </c:pt>
                <c:pt idx="83">
                  <c:v>    82  </c:v>
                </c:pt>
                <c:pt idx="84">
                  <c:v>    83  </c:v>
                </c:pt>
                <c:pt idx="85">
                  <c:v>    84  </c:v>
                </c:pt>
                <c:pt idx="86">
                  <c:v>    85  </c:v>
                </c:pt>
                <c:pt idx="87">
                  <c:v>    86  </c:v>
                </c:pt>
                <c:pt idx="88">
                  <c:v>    87  </c:v>
                </c:pt>
                <c:pt idx="89">
                  <c:v>    88  </c:v>
                </c:pt>
                <c:pt idx="90">
                  <c:v>    89  </c:v>
                </c:pt>
                <c:pt idx="91">
                  <c:v>    90  </c:v>
                </c:pt>
                <c:pt idx="92">
                  <c:v>    91  </c:v>
                </c:pt>
                <c:pt idx="93">
                  <c:v>    92  </c:v>
                </c:pt>
                <c:pt idx="94">
                  <c:v>    93  </c:v>
                </c:pt>
                <c:pt idx="95">
                  <c:v>    94  </c:v>
                </c:pt>
                <c:pt idx="96">
                  <c:v>    95  </c:v>
                </c:pt>
                <c:pt idx="97">
                  <c:v>    96  </c:v>
                </c:pt>
                <c:pt idx="98">
                  <c:v>    97  </c:v>
                </c:pt>
                <c:pt idx="99">
                  <c:v>    98  </c:v>
                </c:pt>
                <c:pt idx="100">
                  <c:v>    99  </c:v>
                </c:pt>
                <c:pt idx="101">
                  <c:v>  100  </c:v>
                </c:pt>
                <c:pt idx="102">
                  <c:v>  101  </c:v>
                </c:pt>
                <c:pt idx="103">
                  <c:v>  102  </c:v>
                </c:pt>
                <c:pt idx="104">
                  <c:v>  103  </c:v>
                </c:pt>
                <c:pt idx="105">
                  <c:v>  104  </c:v>
                </c:pt>
                <c:pt idx="106">
                  <c:v>  105  </c:v>
                </c:pt>
                <c:pt idx="107">
                  <c:v>  106  </c:v>
                </c:pt>
                <c:pt idx="108">
                  <c:v>  107  </c:v>
                </c:pt>
                <c:pt idx="109">
                  <c:v>  108  </c:v>
                </c:pt>
                <c:pt idx="110">
                  <c:v>  109  </c:v>
                </c:pt>
                <c:pt idx="111">
                  <c:v>  110  </c:v>
                </c:pt>
                <c:pt idx="112">
                  <c:v>  111  </c:v>
                </c:pt>
                <c:pt idx="113">
                  <c:v>  112  </c:v>
                </c:pt>
                <c:pt idx="114">
                  <c:v>  113  </c:v>
                </c:pt>
                <c:pt idx="115">
                  <c:v>  114  </c:v>
                </c:pt>
                <c:pt idx="116">
                  <c:v>  115  </c:v>
                </c:pt>
                <c:pt idx="117">
                  <c:v>  116  </c:v>
                </c:pt>
                <c:pt idx="118">
                  <c:v>  117  </c:v>
                </c:pt>
                <c:pt idx="119">
                  <c:v>  118  </c:v>
                </c:pt>
                <c:pt idx="120">
                  <c:v>  119  </c:v>
                </c:pt>
                <c:pt idx="121">
                  <c:v>  120  </c:v>
                </c:pt>
                <c:pt idx="122">
                  <c:v>  121  </c:v>
                </c:pt>
                <c:pt idx="123">
                  <c:v>  122  </c:v>
                </c:pt>
                <c:pt idx="124">
                  <c:v>  123  </c:v>
                </c:pt>
                <c:pt idx="125">
                  <c:v>  124  </c:v>
                </c:pt>
                <c:pt idx="126">
                  <c:v>  125  </c:v>
                </c:pt>
                <c:pt idx="127">
                  <c:v>  126  </c:v>
                </c:pt>
                <c:pt idx="128">
                  <c:v>  127  </c:v>
                </c:pt>
                <c:pt idx="129">
                  <c:v>  128  </c:v>
                </c:pt>
                <c:pt idx="130">
                  <c:v>  129  </c:v>
                </c:pt>
                <c:pt idx="131">
                  <c:v>  130  </c:v>
                </c:pt>
                <c:pt idx="132">
                  <c:v>  131  </c:v>
                </c:pt>
                <c:pt idx="133">
                  <c:v>  132  </c:v>
                </c:pt>
                <c:pt idx="134">
                  <c:v>  133  </c:v>
                </c:pt>
                <c:pt idx="135">
                  <c:v>  134  </c:v>
                </c:pt>
                <c:pt idx="136">
                  <c:v>  135  </c:v>
                </c:pt>
                <c:pt idx="137">
                  <c:v>  136  </c:v>
                </c:pt>
                <c:pt idx="138">
                  <c:v>  137  </c:v>
                </c:pt>
                <c:pt idx="139">
                  <c:v>  138  </c:v>
                </c:pt>
                <c:pt idx="140">
                  <c:v>  139  </c:v>
                </c:pt>
                <c:pt idx="141">
                  <c:v>  140  </c:v>
                </c:pt>
                <c:pt idx="142">
                  <c:v>  141  </c:v>
                </c:pt>
                <c:pt idx="143">
                  <c:v>  142  </c:v>
                </c:pt>
                <c:pt idx="144">
                  <c:v>  143  </c:v>
                </c:pt>
                <c:pt idx="145">
                  <c:v>  144  </c:v>
                </c:pt>
                <c:pt idx="146">
                  <c:v>  145  </c:v>
                </c:pt>
                <c:pt idx="147">
                  <c:v>  146  </c:v>
                </c:pt>
                <c:pt idx="148">
                  <c:v>  147  </c:v>
                </c:pt>
                <c:pt idx="149">
                  <c:v>  148  </c:v>
                </c:pt>
                <c:pt idx="150">
                  <c:v>  149  </c:v>
                </c:pt>
                <c:pt idx="151">
                  <c:v>  150  </c:v>
                </c:pt>
                <c:pt idx="152">
                  <c:v>  151  </c:v>
                </c:pt>
                <c:pt idx="153">
                  <c:v>  152  </c:v>
                </c:pt>
                <c:pt idx="154">
                  <c:v>  153  </c:v>
                </c:pt>
                <c:pt idx="155">
                  <c:v>  154  </c:v>
                </c:pt>
                <c:pt idx="156">
                  <c:v>  155  </c:v>
                </c:pt>
                <c:pt idx="157">
                  <c:v>  156  </c:v>
                </c:pt>
                <c:pt idx="158">
                  <c:v>  157  </c:v>
                </c:pt>
                <c:pt idx="159">
                  <c:v>  158  </c:v>
                </c:pt>
                <c:pt idx="160">
                  <c:v>  159  </c:v>
                </c:pt>
                <c:pt idx="161">
                  <c:v>  160  </c:v>
                </c:pt>
                <c:pt idx="162">
                  <c:v>  161  </c:v>
                </c:pt>
                <c:pt idx="163">
                  <c:v>  162  </c:v>
                </c:pt>
                <c:pt idx="164">
                  <c:v>  163  </c:v>
                </c:pt>
                <c:pt idx="165">
                  <c:v>  164  </c:v>
                </c:pt>
                <c:pt idx="166">
                  <c:v>  165  </c:v>
                </c:pt>
                <c:pt idx="167">
                  <c:v>  166  </c:v>
                </c:pt>
                <c:pt idx="168">
                  <c:v>  167  </c:v>
                </c:pt>
                <c:pt idx="169">
                  <c:v>  168  </c:v>
                </c:pt>
                <c:pt idx="170">
                  <c:v>  169  </c:v>
                </c:pt>
                <c:pt idx="171">
                  <c:v>  170  </c:v>
                </c:pt>
                <c:pt idx="172">
                  <c:v>  171  </c:v>
                </c:pt>
                <c:pt idx="173">
                  <c:v>  172  </c:v>
                </c:pt>
                <c:pt idx="174">
                  <c:v>  173  </c:v>
                </c:pt>
                <c:pt idx="175">
                  <c:v>  174  </c:v>
                </c:pt>
                <c:pt idx="176">
                  <c:v>  175  </c:v>
                </c:pt>
                <c:pt idx="177">
                  <c:v>  176  </c:v>
                </c:pt>
                <c:pt idx="178">
                  <c:v>  177  </c:v>
                </c:pt>
                <c:pt idx="179">
                  <c:v>  178  </c:v>
                </c:pt>
                <c:pt idx="180">
                  <c:v>  179  </c:v>
                </c:pt>
              </c:strCache>
            </c:strRef>
          </c:tx>
          <c:spPr>
            <a:solidFill>
              <a:schemeClr val="accent1"/>
            </a:solidFill>
            <a:ln>
              <a:noFill/>
            </a:ln>
            <a:effectLst/>
          </c:spPr>
          <c:invertIfNegative val="0"/>
          <c:xVal>
            <c:strRef>
              <c:f>Sheet5!$C$182</c:f>
              <c:strCache>
                <c:ptCount val="1"/>
                <c:pt idx="0">
                  <c:v>  1.5707963268  </c:v>
                </c:pt>
              </c:strCache>
            </c:strRef>
          </c:xVal>
          <c:yVal>
            <c:numRef>
              <c:f>Sheet5!$D$182</c:f>
              <c:numCache>
                <c:formatCode>General</c:formatCode>
                <c:ptCount val="1"/>
                <c:pt idx="0">
                  <c:v>0</c:v>
                </c:pt>
              </c:numCache>
            </c:numRef>
          </c:yVal>
          <c:bubbleSize>
            <c:numLit>
              <c:formatCode>General</c:formatCode>
              <c:ptCount val="1"/>
              <c:pt idx="0">
                <c:v>1</c:v>
              </c:pt>
            </c:numLit>
          </c:bubbleSize>
          <c:bubble3D val="1"/>
          <c:extLst>
            <c:ext xmlns:c16="http://schemas.microsoft.com/office/drawing/2014/chart" uri="{C3380CC4-5D6E-409C-BE32-E72D297353CC}">
              <c16:uniqueId val="{00000000-295C-4D02-8A00-265C42B78FD4}"/>
            </c:ext>
          </c:extLst>
        </c:ser>
        <c:dLbls>
          <c:showLegendKey val="0"/>
          <c:showVal val="0"/>
          <c:showCatName val="0"/>
          <c:showSerName val="0"/>
          <c:showPercent val="0"/>
          <c:showBubbleSize val="0"/>
        </c:dLbls>
        <c:bubbleScale val="100"/>
        <c:showNegBubbles val="0"/>
        <c:axId val="803899808"/>
        <c:axId val="803900168"/>
      </c:bubbleChart>
      <c:valAx>
        <c:axId val="8038998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03900168"/>
        <c:crosses val="autoZero"/>
        <c:crossBetween val="midCat"/>
      </c:valAx>
      <c:valAx>
        <c:axId val="80390016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03899808"/>
        <c:crosses val="autoZero"/>
        <c:crossBetween val="midCat"/>
      </c:valAx>
      <c:spPr>
        <a:noFill/>
        <a:ln>
          <a:noFill/>
        </a:ln>
        <a:effectLst/>
      </c:spPr>
    </c:plotArea>
    <c:plotVisOnly val="1"/>
    <c:dispBlanksAs val="zero"/>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gif"/><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jpeg"/><Relationship Id="rId5" Type="http://schemas.openxmlformats.org/officeDocument/2006/relationships/image" Target="../media/image3.gif"/><Relationship Id="rId4" Type="http://schemas.openxmlformats.org/officeDocument/2006/relationships/image" Target="../media/image8.png"/></Relationships>
</file>

<file path=xl/drawings/_rels/drawing4.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png"/></Relationships>
</file>

<file path=xl/drawings/_rels/drawing6.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163286</xdr:colOff>
      <xdr:row>36</xdr:row>
      <xdr:rowOff>166206</xdr:rowOff>
    </xdr:from>
    <xdr:to>
      <xdr:col>1</xdr:col>
      <xdr:colOff>902375</xdr:colOff>
      <xdr:row>42</xdr:row>
      <xdr:rowOff>177784</xdr:rowOff>
    </xdr:to>
    <xdr:pic>
      <xdr:nvPicPr>
        <xdr:cNvPr id="2" name="Picture 1">
          <a:extLst>
            <a:ext uri="{FF2B5EF4-FFF2-40B4-BE49-F238E27FC236}">
              <a16:creationId xmlns:a16="http://schemas.microsoft.com/office/drawing/2014/main" id="{D09F9581-55CE-9B90-148A-2FBCF36DF653}"/>
            </a:ext>
          </a:extLst>
        </xdr:cNvPr>
        <xdr:cNvPicPr>
          <a:picLocks noChangeAspect="1"/>
        </xdr:cNvPicPr>
      </xdr:nvPicPr>
      <xdr:blipFill>
        <a:blip xmlns:r="http://schemas.openxmlformats.org/officeDocument/2006/relationships" r:embed="rId1"/>
        <a:stretch>
          <a:fillRect/>
        </a:stretch>
      </xdr:blipFill>
      <xdr:spPr>
        <a:xfrm>
          <a:off x="163286" y="6840510"/>
          <a:ext cx="2712125" cy="111375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16</xdr:col>
      <xdr:colOff>550161</xdr:colOff>
      <xdr:row>0</xdr:row>
      <xdr:rowOff>0</xdr:rowOff>
    </xdr:from>
    <xdr:to>
      <xdr:col>23</xdr:col>
      <xdr:colOff>483636</xdr:colOff>
      <xdr:row>44</xdr:row>
      <xdr:rowOff>175726</xdr:rowOff>
    </xdr:to>
    <xdr:pic>
      <xdr:nvPicPr>
        <xdr:cNvPr id="2" name="Picture 1" descr="undefined">
          <a:extLst>
            <a:ext uri="{FF2B5EF4-FFF2-40B4-BE49-F238E27FC236}">
              <a16:creationId xmlns:a16="http://schemas.microsoft.com/office/drawing/2014/main" id="{0E3F34FF-44A2-BC0C-6108-159F43FC06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63120" y="0"/>
          <a:ext cx="4505475" cy="82233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38877</xdr:colOff>
      <xdr:row>0</xdr:row>
      <xdr:rowOff>69979</xdr:rowOff>
    </xdr:from>
    <xdr:to>
      <xdr:col>17</xdr:col>
      <xdr:colOff>279920</xdr:colOff>
      <xdr:row>15</xdr:row>
      <xdr:rowOff>153685</xdr:rowOff>
    </xdr:to>
    <xdr:pic>
      <xdr:nvPicPr>
        <xdr:cNvPr id="3" name="Picture 2">
          <a:extLst>
            <a:ext uri="{FF2B5EF4-FFF2-40B4-BE49-F238E27FC236}">
              <a16:creationId xmlns:a16="http://schemas.microsoft.com/office/drawing/2014/main" id="{7FDE1C71-D90A-6823-A46B-ADE45DADAA7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730204" y="69979"/>
          <a:ext cx="2915817" cy="30072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1</xdr:colOff>
      <xdr:row>41</xdr:row>
      <xdr:rowOff>50688</xdr:rowOff>
    </xdr:from>
    <xdr:to>
      <xdr:col>14</xdr:col>
      <xdr:colOff>531279</xdr:colOff>
      <xdr:row>47</xdr:row>
      <xdr:rowOff>121457</xdr:rowOff>
    </xdr:to>
    <xdr:pic>
      <xdr:nvPicPr>
        <xdr:cNvPr id="4" name="Picture 3">
          <a:extLst>
            <a:ext uri="{FF2B5EF4-FFF2-40B4-BE49-F238E27FC236}">
              <a16:creationId xmlns:a16="http://schemas.microsoft.com/office/drawing/2014/main" id="{03307848-319B-9CB1-7902-26FD60550163}"/>
            </a:ext>
          </a:extLst>
        </xdr:cNvPr>
        <xdr:cNvPicPr>
          <a:picLocks noChangeAspect="1"/>
        </xdr:cNvPicPr>
      </xdr:nvPicPr>
      <xdr:blipFill>
        <a:blip xmlns:r="http://schemas.openxmlformats.org/officeDocument/2006/relationships" r:embed="rId3"/>
        <a:stretch>
          <a:fillRect/>
        </a:stretch>
      </xdr:blipFill>
      <xdr:spPr>
        <a:xfrm>
          <a:off x="6858001" y="7530729"/>
          <a:ext cx="5017748" cy="121376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326570</xdr:colOff>
      <xdr:row>0</xdr:row>
      <xdr:rowOff>159984</xdr:rowOff>
    </xdr:from>
    <xdr:to>
      <xdr:col>8</xdr:col>
      <xdr:colOff>240826</xdr:colOff>
      <xdr:row>17</xdr:row>
      <xdr:rowOff>115165</xdr:rowOff>
    </xdr:to>
    <xdr:pic>
      <xdr:nvPicPr>
        <xdr:cNvPr id="2" name="Picture 1">
          <a:extLst>
            <a:ext uri="{FF2B5EF4-FFF2-40B4-BE49-F238E27FC236}">
              <a16:creationId xmlns:a16="http://schemas.microsoft.com/office/drawing/2014/main" id="{4A914BA5-98C0-43E3-8D7C-1CA4649A425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61656" y="159984"/>
          <a:ext cx="2526827" cy="31501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474130</xdr:colOff>
      <xdr:row>0</xdr:row>
      <xdr:rowOff>32657</xdr:rowOff>
    </xdr:from>
    <xdr:to>
      <xdr:col>12</xdr:col>
      <xdr:colOff>278946</xdr:colOff>
      <xdr:row>23</xdr:row>
      <xdr:rowOff>140153</xdr:rowOff>
    </xdr:to>
    <xdr:pic>
      <xdr:nvPicPr>
        <xdr:cNvPr id="3" name="Picture 2">
          <a:extLst>
            <a:ext uri="{FF2B5EF4-FFF2-40B4-BE49-F238E27FC236}">
              <a16:creationId xmlns:a16="http://schemas.microsoft.com/office/drawing/2014/main" id="{91B3C68D-C4B2-A79B-9E91-F19217153E75}"/>
            </a:ext>
          </a:extLst>
        </xdr:cNvPr>
        <xdr:cNvPicPr>
          <a:picLocks noChangeAspect="1"/>
        </xdr:cNvPicPr>
      </xdr:nvPicPr>
      <xdr:blipFill>
        <a:blip xmlns:r="http://schemas.openxmlformats.org/officeDocument/2006/relationships" r:embed="rId2"/>
        <a:stretch>
          <a:fillRect/>
        </a:stretch>
      </xdr:blipFill>
      <xdr:spPr>
        <a:xfrm>
          <a:off x="6221787" y="32657"/>
          <a:ext cx="2417388" cy="4412796"/>
        </a:xfrm>
        <a:prstGeom prst="rect">
          <a:avLst/>
        </a:prstGeom>
      </xdr:spPr>
    </xdr:pic>
    <xdr:clientData/>
  </xdr:twoCellAnchor>
  <xdr:twoCellAnchor editAs="oneCell">
    <xdr:from>
      <xdr:col>12</xdr:col>
      <xdr:colOff>370113</xdr:colOff>
      <xdr:row>0</xdr:row>
      <xdr:rowOff>31295</xdr:rowOff>
    </xdr:from>
    <xdr:to>
      <xdr:col>17</xdr:col>
      <xdr:colOff>435427</xdr:colOff>
      <xdr:row>10</xdr:row>
      <xdr:rowOff>27212</xdr:rowOff>
    </xdr:to>
    <xdr:pic>
      <xdr:nvPicPr>
        <xdr:cNvPr id="4" name="Picture 3">
          <a:extLst>
            <a:ext uri="{FF2B5EF4-FFF2-40B4-BE49-F238E27FC236}">
              <a16:creationId xmlns:a16="http://schemas.microsoft.com/office/drawing/2014/main" id="{C1382415-CA23-ED42-08ED-E55967B00602}"/>
            </a:ext>
          </a:extLst>
        </xdr:cNvPr>
        <xdr:cNvPicPr>
          <a:picLocks noChangeAspect="1"/>
        </xdr:cNvPicPr>
      </xdr:nvPicPr>
      <xdr:blipFill>
        <a:blip xmlns:r="http://schemas.openxmlformats.org/officeDocument/2006/relationships" r:embed="rId3"/>
        <a:stretch>
          <a:fillRect/>
        </a:stretch>
      </xdr:blipFill>
      <xdr:spPr>
        <a:xfrm>
          <a:off x="8730342" y="31295"/>
          <a:ext cx="3331028" cy="1873703"/>
        </a:xfrm>
        <a:prstGeom prst="rect">
          <a:avLst/>
        </a:prstGeom>
      </xdr:spPr>
    </xdr:pic>
    <xdr:clientData/>
  </xdr:twoCellAnchor>
  <xdr:twoCellAnchor editAs="oneCell">
    <xdr:from>
      <xdr:col>12</xdr:col>
      <xdr:colOff>472983</xdr:colOff>
      <xdr:row>11</xdr:row>
      <xdr:rowOff>5442</xdr:rowOff>
    </xdr:from>
    <xdr:to>
      <xdr:col>16</xdr:col>
      <xdr:colOff>503524</xdr:colOff>
      <xdr:row>21</xdr:row>
      <xdr:rowOff>165008</xdr:rowOff>
    </xdr:to>
    <xdr:pic>
      <xdr:nvPicPr>
        <xdr:cNvPr id="6" name="Picture 5">
          <a:extLst>
            <a:ext uri="{FF2B5EF4-FFF2-40B4-BE49-F238E27FC236}">
              <a16:creationId xmlns:a16="http://schemas.microsoft.com/office/drawing/2014/main" id="{938E1FE1-A9BF-0535-6074-E000E9531592}"/>
            </a:ext>
          </a:extLst>
        </xdr:cNvPr>
        <xdr:cNvPicPr>
          <a:picLocks noChangeAspect="1"/>
        </xdr:cNvPicPr>
      </xdr:nvPicPr>
      <xdr:blipFill>
        <a:blip xmlns:r="http://schemas.openxmlformats.org/officeDocument/2006/relationships" r:embed="rId4"/>
        <a:stretch>
          <a:fillRect/>
        </a:stretch>
      </xdr:blipFill>
      <xdr:spPr>
        <a:xfrm>
          <a:off x="8833212" y="2073728"/>
          <a:ext cx="2643112" cy="2026466"/>
        </a:xfrm>
        <a:prstGeom prst="rect">
          <a:avLst/>
        </a:prstGeom>
      </xdr:spPr>
    </xdr:pic>
    <xdr:clientData/>
  </xdr:twoCellAnchor>
  <xdr:twoCellAnchor editAs="oneCell">
    <xdr:from>
      <xdr:col>3</xdr:col>
      <xdr:colOff>369327</xdr:colOff>
      <xdr:row>18</xdr:row>
      <xdr:rowOff>114300</xdr:rowOff>
    </xdr:from>
    <xdr:to>
      <xdr:col>8</xdr:col>
      <xdr:colOff>353009</xdr:colOff>
      <xdr:row>36</xdr:row>
      <xdr:rowOff>134613</xdr:rowOff>
    </xdr:to>
    <xdr:pic>
      <xdr:nvPicPr>
        <xdr:cNvPr id="7" name="Picture 6">
          <a:extLst>
            <a:ext uri="{FF2B5EF4-FFF2-40B4-BE49-F238E27FC236}">
              <a16:creationId xmlns:a16="http://schemas.microsoft.com/office/drawing/2014/main" id="{7E4DEECA-0C13-4955-B4D7-8AB75735A39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851270" y="3494314"/>
          <a:ext cx="3249396" cy="33513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288472</xdr:colOff>
      <xdr:row>0</xdr:row>
      <xdr:rowOff>87086</xdr:rowOff>
    </xdr:from>
    <xdr:to>
      <xdr:col>13</xdr:col>
      <xdr:colOff>640897</xdr:colOff>
      <xdr:row>5</xdr:row>
      <xdr:rowOff>112940</xdr:rowOff>
    </xdr:to>
    <xdr:pic>
      <xdr:nvPicPr>
        <xdr:cNvPr id="2" name="Picture 1">
          <a:extLst>
            <a:ext uri="{FF2B5EF4-FFF2-40B4-BE49-F238E27FC236}">
              <a16:creationId xmlns:a16="http://schemas.microsoft.com/office/drawing/2014/main" id="{8B57668F-AA31-4745-874A-52665F958C7F}"/>
            </a:ext>
          </a:extLst>
        </xdr:cNvPr>
        <xdr:cNvPicPr>
          <a:picLocks noChangeAspect="1"/>
        </xdr:cNvPicPr>
      </xdr:nvPicPr>
      <xdr:blipFill>
        <a:blip xmlns:r="http://schemas.openxmlformats.org/officeDocument/2006/relationships" r:embed="rId1"/>
        <a:stretch>
          <a:fillRect/>
        </a:stretch>
      </xdr:blipFill>
      <xdr:spPr>
        <a:xfrm>
          <a:off x="3793672" y="87086"/>
          <a:ext cx="4924425" cy="1000125"/>
        </a:xfrm>
        <a:prstGeom prst="rect">
          <a:avLst/>
        </a:prstGeom>
      </xdr:spPr>
    </xdr:pic>
    <xdr:clientData/>
  </xdr:twoCellAnchor>
  <xdr:twoCellAnchor editAs="oneCell">
    <xdr:from>
      <xdr:col>6</xdr:col>
      <xdr:colOff>108857</xdr:colOff>
      <xdr:row>5</xdr:row>
      <xdr:rowOff>103414</xdr:rowOff>
    </xdr:from>
    <xdr:to>
      <xdr:col>14</xdr:col>
      <xdr:colOff>93889</xdr:colOff>
      <xdr:row>15</xdr:row>
      <xdr:rowOff>21771</xdr:rowOff>
    </xdr:to>
    <xdr:pic>
      <xdr:nvPicPr>
        <xdr:cNvPr id="3" name="Picture 2">
          <a:extLst>
            <a:ext uri="{FF2B5EF4-FFF2-40B4-BE49-F238E27FC236}">
              <a16:creationId xmlns:a16="http://schemas.microsoft.com/office/drawing/2014/main" id="{6CFC3E5E-CD86-4482-8A53-9A432BA5E21F}"/>
            </a:ext>
          </a:extLst>
        </xdr:cNvPr>
        <xdr:cNvPicPr>
          <a:picLocks noChangeAspect="1"/>
        </xdr:cNvPicPr>
      </xdr:nvPicPr>
      <xdr:blipFill>
        <a:blip xmlns:r="http://schemas.openxmlformats.org/officeDocument/2006/relationships" r:embed="rId2"/>
        <a:stretch>
          <a:fillRect/>
        </a:stretch>
      </xdr:blipFill>
      <xdr:spPr>
        <a:xfrm>
          <a:off x="3614057" y="1077685"/>
          <a:ext cx="5210175" cy="10287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288472</xdr:colOff>
      <xdr:row>0</xdr:row>
      <xdr:rowOff>87086</xdr:rowOff>
    </xdr:from>
    <xdr:to>
      <xdr:col>13</xdr:col>
      <xdr:colOff>395968</xdr:colOff>
      <xdr:row>5</xdr:row>
      <xdr:rowOff>161925</xdr:rowOff>
    </xdr:to>
    <xdr:pic>
      <xdr:nvPicPr>
        <xdr:cNvPr id="4" name="Picture 3">
          <a:extLst>
            <a:ext uri="{FF2B5EF4-FFF2-40B4-BE49-F238E27FC236}">
              <a16:creationId xmlns:a16="http://schemas.microsoft.com/office/drawing/2014/main" id="{3E66B82F-FEE5-483C-9709-68D853902385}"/>
            </a:ext>
          </a:extLst>
        </xdr:cNvPr>
        <xdr:cNvPicPr>
          <a:picLocks noChangeAspect="1"/>
        </xdr:cNvPicPr>
      </xdr:nvPicPr>
      <xdr:blipFill>
        <a:blip xmlns:r="http://schemas.openxmlformats.org/officeDocument/2006/relationships" r:embed="rId1"/>
        <a:stretch>
          <a:fillRect/>
        </a:stretch>
      </xdr:blipFill>
      <xdr:spPr>
        <a:xfrm>
          <a:off x="3793672" y="87086"/>
          <a:ext cx="4924425" cy="1000125"/>
        </a:xfrm>
        <a:prstGeom prst="rect">
          <a:avLst/>
        </a:prstGeom>
      </xdr:spPr>
    </xdr:pic>
    <xdr:clientData/>
  </xdr:twoCellAnchor>
  <xdr:twoCellAnchor editAs="oneCell">
    <xdr:from>
      <xdr:col>6</xdr:col>
      <xdr:colOff>108857</xdr:colOff>
      <xdr:row>5</xdr:row>
      <xdr:rowOff>103414</xdr:rowOff>
    </xdr:from>
    <xdr:to>
      <xdr:col>13</xdr:col>
      <xdr:colOff>502103</xdr:colOff>
      <xdr:row>11</xdr:row>
      <xdr:rowOff>21771</xdr:rowOff>
    </xdr:to>
    <xdr:pic>
      <xdr:nvPicPr>
        <xdr:cNvPr id="5" name="Picture 4">
          <a:extLst>
            <a:ext uri="{FF2B5EF4-FFF2-40B4-BE49-F238E27FC236}">
              <a16:creationId xmlns:a16="http://schemas.microsoft.com/office/drawing/2014/main" id="{B521FE0D-DE63-4906-A039-902C62689C24}"/>
            </a:ext>
          </a:extLst>
        </xdr:cNvPr>
        <xdr:cNvPicPr>
          <a:picLocks noChangeAspect="1"/>
        </xdr:cNvPicPr>
      </xdr:nvPicPr>
      <xdr:blipFill>
        <a:blip xmlns:r="http://schemas.openxmlformats.org/officeDocument/2006/relationships" r:embed="rId2"/>
        <a:stretch>
          <a:fillRect/>
        </a:stretch>
      </xdr:blipFill>
      <xdr:spPr>
        <a:xfrm>
          <a:off x="3614057" y="1077685"/>
          <a:ext cx="5210175" cy="10287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4</xdr:col>
      <xdr:colOff>307520</xdr:colOff>
      <xdr:row>5</xdr:row>
      <xdr:rowOff>54427</xdr:rowOff>
    </xdr:from>
    <xdr:to>
      <xdr:col>10</xdr:col>
      <xdr:colOff>5442</xdr:colOff>
      <xdr:row>22</xdr:row>
      <xdr:rowOff>48985</xdr:rowOff>
    </xdr:to>
    <xdr:graphicFrame macro="">
      <xdr:nvGraphicFramePr>
        <xdr:cNvPr id="2" name="Chart 1">
          <a:extLst>
            <a:ext uri="{FF2B5EF4-FFF2-40B4-BE49-F238E27FC236}">
              <a16:creationId xmlns:a16="http://schemas.microsoft.com/office/drawing/2014/main" id="{C76F3F1D-F9CE-960A-3B68-D482DF180D7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glenn/Dropbox/Desktop/FE/JTolan/JTolan.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D:\Flat%20Earth\Rooheef%20Excel%20fe.xlsm" TargetMode="External"/><Relationship Id="rId1" Type="http://schemas.openxmlformats.org/officeDocument/2006/relationships/externalLinkPath" Target="Flat%20Earth/Rooheef%20Excel%20fe.xlsm"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D:\Flat%20Earth\Rooheef%20Excel%20fe.xlsm" TargetMode="External"/><Relationship Id="rId1" Type="http://schemas.openxmlformats.org/officeDocument/2006/relationships/externalLinkPath" Target="file:///D:\Flat%20Earth\Rooheef%20Excel%20f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lightPath"/>
      <sheetName val="Sheet2"/>
      <sheetName val="Sheet3"/>
      <sheetName val="Sheet1"/>
    </sheetNames>
    <sheetDataSet>
      <sheetData sheetId="0" refreshError="1"/>
      <sheetData sheetId="1" refreshError="1"/>
      <sheetData sheetId="2">
        <row r="2">
          <cell r="B2">
            <v>326</v>
          </cell>
        </row>
      </sheetData>
      <sheetData sheetId="3">
        <row r="2">
          <cell r="M2">
            <v>9200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easurements"/>
      <sheetName val="Vertical Interpolation"/>
      <sheetName val="Order of Mountains"/>
      <sheetName val="JTrollin - Tanks"/>
      <sheetName val="Fudging"/>
      <sheetName val="Air Pressure"/>
      <sheetName val="Elevation"/>
      <sheetName val="Aqueduct Measurements"/>
      <sheetName val="Al Biruni"/>
      <sheetName val="Line of Sight"/>
      <sheetName val="Reverse Engineer"/>
      <sheetName val="Star Trails"/>
      <sheetName val="Interpolation"/>
      <sheetName val="GEO"/>
      <sheetName val="Exploring the Plane"/>
      <sheetName val="L-R Curve"/>
      <sheetName val="Meggers and Peters"/>
      <sheetName val="ITU Radio Formula"/>
      <sheetName val="IUGG-IAG Radio Formula"/>
      <sheetName val="Surveying"/>
      <sheetName val="Spherical Excess"/>
      <sheetName val="Centrifugal"/>
      <sheetName val="Gnome Experiment"/>
      <sheetName val="Dip Correction"/>
      <sheetName val="AE Navigation"/>
      <sheetName val="Stellar Refraction"/>
      <sheetName val="Focal Length"/>
      <sheetName val="Refractivity Gradient"/>
      <sheetName val="Wind Speed"/>
      <sheetName val="Horizon Distance"/>
      <sheetName val="Implied Radius"/>
      <sheetName val="Curve Calc"/>
      <sheetName val="Auto Level Accuracy"/>
      <sheetName val="Diffraction Limit"/>
      <sheetName val="Chromatic Abberation"/>
      <sheetName val="Sverdrup 1946"/>
      <sheetName val="Calibration"/>
      <sheetName val="Gravity"/>
      <sheetName val="Theodolite Measurements"/>
    </sheetNames>
    <sheetDataSet>
      <sheetData sheetId="0"/>
      <sheetData sheetId="1"/>
      <sheetData sheetId="2"/>
      <sheetData sheetId="3"/>
      <sheetData sheetId="4"/>
      <sheetData sheetId="5"/>
      <sheetData sheetId="6">
        <row r="2">
          <cell r="C2">
            <v>6371</v>
          </cell>
          <cell r="F2">
            <v>2770</v>
          </cell>
          <cell r="I2">
            <v>550</v>
          </cell>
          <cell r="L2">
            <v>6961</v>
          </cell>
        </row>
        <row r="3">
          <cell r="C3">
            <v>1.2</v>
          </cell>
          <cell r="I3">
            <v>133000</v>
          </cell>
          <cell r="L3">
            <v>483792</v>
          </cell>
        </row>
        <row r="5">
          <cell r="C5">
            <v>7645200</v>
          </cell>
          <cell r="F5">
            <v>7647970</v>
          </cell>
        </row>
        <row r="20">
          <cell r="I20">
            <v>133002.85920548326</v>
          </cell>
          <cell r="L20">
            <v>483909.38177768473</v>
          </cell>
        </row>
        <row r="21">
          <cell r="I21">
            <v>7644593.0762822926</v>
          </cell>
          <cell r="L21">
            <v>7636844.8773134407</v>
          </cell>
        </row>
      </sheetData>
      <sheetData sheetId="7"/>
      <sheetData sheetId="8"/>
      <sheetData sheetId="9"/>
      <sheetData sheetId="10">
        <row r="1">
          <cell r="I1">
            <v>53.073963165283203</v>
          </cell>
        </row>
        <row r="2">
          <cell r="I2">
            <v>-4.0722851753234863</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row r="1">
          <cell r="B1">
            <v>10451.799999999999</v>
          </cell>
        </row>
        <row r="2">
          <cell r="B2">
            <v>326.91000000000003</v>
          </cell>
        </row>
        <row r="3">
          <cell r="B3">
            <v>8.5753496743399982</v>
          </cell>
        </row>
        <row r="5">
          <cell r="B5">
            <v>1.1666666666666667</v>
          </cell>
        </row>
        <row r="7">
          <cell r="B7">
            <v>7.3502997208628553</v>
          </cell>
        </row>
        <row r="9">
          <cell r="B9">
            <v>319.55970027913719</v>
          </cell>
        </row>
        <row r="10">
          <cell r="B10">
            <v>73.051000000000002</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easurements"/>
      <sheetName val="Vertical Interpolation"/>
      <sheetName val="Order of Mountains"/>
      <sheetName val="JTrollin - Tanks"/>
      <sheetName val="Fudging"/>
      <sheetName val="Air Pressure"/>
      <sheetName val="Elevation"/>
      <sheetName val="Aqueduct Measurements"/>
      <sheetName val="Al Biruni"/>
      <sheetName val="Line of Sight"/>
      <sheetName val="Reverse Engineer"/>
      <sheetName val="Star Trails"/>
      <sheetName val="Interpolation"/>
      <sheetName val="GEO"/>
      <sheetName val="Exploring the Plane"/>
      <sheetName val="L-R Curve"/>
      <sheetName val="Meggers and Peters"/>
      <sheetName val="ITU Radio Formula"/>
      <sheetName val="IUGG-IAG Radio Formula"/>
      <sheetName val="Surveying"/>
      <sheetName val="Spherical Excess"/>
      <sheetName val="Centrifugal"/>
      <sheetName val="Gnome Experiment"/>
      <sheetName val="Dip Correction"/>
      <sheetName val="AE Navigation"/>
      <sheetName val="Stellar Refraction"/>
      <sheetName val="Focal Length"/>
      <sheetName val="Refractivity Gradient"/>
      <sheetName val="Wind Speed"/>
      <sheetName val="Horizon Distance"/>
      <sheetName val="Implied Radius"/>
      <sheetName val="Curve Calc"/>
      <sheetName val="Auto Level Accuracy"/>
      <sheetName val="Diffraction Limit"/>
      <sheetName val="Chromatic Abberation"/>
      <sheetName val="Sverdrup 1946"/>
      <sheetName val="Calibration"/>
      <sheetName val="Gravity"/>
      <sheetName val="Theodolite Measurements"/>
    </sheetNames>
    <sheetDataSet>
      <sheetData sheetId="0"/>
      <sheetData sheetId="1"/>
      <sheetData sheetId="2"/>
      <sheetData sheetId="3"/>
      <sheetData sheetId="4"/>
      <sheetData sheetId="5"/>
      <sheetData sheetId="6">
        <row r="2">
          <cell r="C2">
            <v>6371</v>
          </cell>
          <cell r="F2">
            <v>2770</v>
          </cell>
          <cell r="I2">
            <v>550</v>
          </cell>
          <cell r="L2">
            <v>6961</v>
          </cell>
        </row>
        <row r="3">
          <cell r="C3">
            <v>1.2</v>
          </cell>
          <cell r="I3">
            <v>133000</v>
          </cell>
          <cell r="L3">
            <v>483792</v>
          </cell>
        </row>
        <row r="5">
          <cell r="C5">
            <v>7645200</v>
          </cell>
          <cell r="F5">
            <v>7647970</v>
          </cell>
        </row>
        <row r="20">
          <cell r="I20">
            <v>133002.85920548326</v>
          </cell>
          <cell r="L20">
            <v>483909.38177768473</v>
          </cell>
        </row>
        <row r="21">
          <cell r="I21">
            <v>7644593.0762822926</v>
          </cell>
          <cell r="L21">
            <v>7636844.8773134407</v>
          </cell>
        </row>
      </sheetData>
      <sheetData sheetId="7"/>
      <sheetData sheetId="8"/>
      <sheetData sheetId="9"/>
      <sheetData sheetId="10">
        <row r="1">
          <cell r="I1">
            <v>53.073963165283203</v>
          </cell>
        </row>
        <row r="2">
          <cell r="I2">
            <v>-4.0722851753234863</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row r="1">
          <cell r="B1">
            <v>10451.799999999999</v>
          </cell>
        </row>
        <row r="2">
          <cell r="B2">
            <v>326.91000000000003</v>
          </cell>
        </row>
        <row r="3">
          <cell r="B3">
            <v>8.5753496743399982</v>
          </cell>
        </row>
        <row r="5">
          <cell r="B5">
            <v>1.1666666666666667</v>
          </cell>
        </row>
        <row r="7">
          <cell r="B7">
            <v>7.3502997208628553</v>
          </cell>
        </row>
        <row r="9">
          <cell r="B9">
            <v>319.55970027913719</v>
          </cell>
        </row>
        <row r="10">
          <cell r="B10">
            <v>73.051000000000002</v>
          </cell>
        </row>
      </sheetData>
    </sheetDataSet>
  </externalBook>
</externalLink>
</file>

<file path=xl/persons/person.xml><?xml version="1.0" encoding="utf-8"?>
<personList xmlns="http://schemas.microsoft.com/office/spreadsheetml/2018/threadedcomments" xmlns:x="http://schemas.openxmlformats.org/spreadsheetml/2006/main">
  <person displayName="Glenn W" id="{0A1D055C-519F-4407-BA81-FCF15C6C090F}" userId="2a4e430caf9b325c" providerId="Windows Live"/>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CDDA958-C101-4E71-9114-2F4659E6EC05}" name="Table17" displayName="Table17" ref="I1:K11" totalsRowShown="0">
  <autoFilter ref="I1:K11" xr:uid="{AC331DE0-64D1-4B4E-B05C-EA88D46B2D28}"/>
  <tableColumns count="3">
    <tableColumn id="1" xr3:uid="{64CEF84A-6598-4A64-A178-5D5AEC4F8D60}" name="Name"/>
    <tableColumn id="2" xr3:uid="{8EA04095-4B6C-4529-B9DF-F0DEB79EF710}" name="Latitude" dataCellStyle="Input"/>
    <tableColumn id="3" xr3:uid="{68A83C62-09ED-48F9-97D1-23703D1CC486}" name="Longitude" dataCellStyle="Input"/>
  </tableColumns>
  <tableStyleInfo name="TableStyleMedium1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C16" dT="2019-05-01T04:30:33.41" personId="{0A1D055C-519F-4407-BA81-FCF15C6C090F}" id="{9645D16D-BB7B-499E-8E5A-1E71CF2DE398}">
    <text>This is a wrong calculation if the distance is less than the horizon.</text>
  </threadedComment>
  <threadedComment ref="G16" dT="2019-05-01T04:30:33.41" personId="{0A1D055C-519F-4407-BA81-FCF15C6C090F}" id="{84DE3F36-5B68-438C-8D50-E5A4C577F5F3}">
    <text>This is a wrong calculation if the distance is less than the horizon.</text>
  </threadedComment>
</ThreadedComments>
</file>

<file path=xl/threadedComments/threadedComment2.xml><?xml version="1.0" encoding="utf-8"?>
<ThreadedComments xmlns="http://schemas.microsoft.com/office/spreadsheetml/2018/threadedcomments" xmlns:x="http://schemas.openxmlformats.org/spreadsheetml/2006/main">
  <threadedComment ref="C2" dT="2019-09-09T08:57:42.07" personId="{0A1D055C-519F-4407-BA81-FCF15C6C090F}" id="{A8F7E276-87D6-410D-8738-C604E52B0C40}">
    <text>Sydney to Tahiti is 3,307.66 NM on the globe</text>
  </threadedComment>
</ThreadedComments>
</file>

<file path=xl/threadedComments/threadedComment3.xml><?xml version="1.0" encoding="utf-8"?>
<ThreadedComments xmlns="http://schemas.microsoft.com/office/spreadsheetml/2018/threadedcomments" xmlns:x="http://schemas.openxmlformats.org/spreadsheetml/2006/main">
  <threadedComment ref="C16" dT="2019-05-01T04:30:33.41" personId="{0A1D055C-519F-4407-BA81-FCF15C6C090F}" id="{ECA2C4F0-EB27-42A3-A34F-6CD30987E712}">
    <text>This is a wrong calculation if the distance is less than the horizon.</text>
  </threadedComment>
  <threadedComment ref="G16" dT="2019-05-01T04:30:33.41" personId="{0A1D055C-519F-4407-BA81-FCF15C6C090F}" id="{27B5CFE2-4B84-48E0-B2B3-9ED59666CCE1}">
    <text>This is a wrong calculation if the distance is less than the horizon.</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microsoft.com/office/2017/10/relationships/threadedComment" Target="../threadedComments/threadedComment1.xml"/><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5.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10.xml.rels><?xml version="1.0" encoding="UTF-8" standalone="yes"?>
<Relationships xmlns="http://schemas.openxmlformats.org/package/2006/relationships"><Relationship Id="rId8" Type="http://schemas.openxmlformats.org/officeDocument/2006/relationships/hyperlink" Target="https://wikimili.com/en/Mile" TargetMode="External"/><Relationship Id="rId13" Type="http://schemas.openxmlformats.org/officeDocument/2006/relationships/hyperlink" Target="https://wikimili.com/en/Nautical_mile" TargetMode="External"/><Relationship Id="rId18" Type="http://schemas.openxmlformats.org/officeDocument/2006/relationships/hyperlink" Target="https://wikimili.com/en/Mile" TargetMode="External"/><Relationship Id="rId26" Type="http://schemas.openxmlformats.org/officeDocument/2006/relationships/hyperlink" Target="https://wikimili.com/en/Ottoman_units_of_measurement" TargetMode="External"/><Relationship Id="rId3" Type="http://schemas.openxmlformats.org/officeDocument/2006/relationships/hyperlink" Target="https://wikimili.com/en/Chi_(unit)" TargetMode="External"/><Relationship Id="rId21" Type="http://schemas.openxmlformats.org/officeDocument/2006/relationships/hyperlink" Target="https://wikimili.com/en/Nautical_mile" TargetMode="External"/><Relationship Id="rId7" Type="http://schemas.openxmlformats.org/officeDocument/2006/relationships/hyperlink" Target="https://wikimili.com/en/Ancient_Roman_units_of_measurement" TargetMode="External"/><Relationship Id="rId12" Type="http://schemas.openxmlformats.org/officeDocument/2006/relationships/hyperlink" Target="https://wikimili.com/en/Comparison_of_the_imperial_and_US_customary_measurement_systems" TargetMode="External"/><Relationship Id="rId17" Type="http://schemas.openxmlformats.org/officeDocument/2006/relationships/hyperlink" Target="https://wikimili.com/en/Mile" TargetMode="External"/><Relationship Id="rId25" Type="http://schemas.openxmlformats.org/officeDocument/2006/relationships/hyperlink" Target="https://wikimili.com/en/Mile" TargetMode="External"/><Relationship Id="rId33" Type="http://schemas.openxmlformats.org/officeDocument/2006/relationships/hyperlink" Target="https://wikimili.com/en/Rod_(unit)" TargetMode="External"/><Relationship Id="rId2" Type="http://schemas.openxmlformats.org/officeDocument/2006/relationships/hyperlink" Target="https://wikimili.com/en/China" TargetMode="External"/><Relationship Id="rId16" Type="http://schemas.openxmlformats.org/officeDocument/2006/relationships/hyperlink" Target="https://wikimili.com/en/Mile" TargetMode="External"/><Relationship Id="rId20" Type="http://schemas.openxmlformats.org/officeDocument/2006/relationships/hyperlink" Target="https://wikimili.com/en/Mile" TargetMode="External"/><Relationship Id="rId29" Type="http://schemas.openxmlformats.org/officeDocument/2006/relationships/hyperlink" Target="https://wikimili.com/en/Mile" TargetMode="External"/><Relationship Id="rId1" Type="http://schemas.openxmlformats.org/officeDocument/2006/relationships/hyperlink" Target="https://wikimili.com/en/Li_(unit)" TargetMode="External"/><Relationship Id="rId6" Type="http://schemas.openxmlformats.org/officeDocument/2006/relationships/hyperlink" Target="https://wikimili.com/en/Biblical_and_Talmudic_units_of_measurement" TargetMode="External"/><Relationship Id="rId11" Type="http://schemas.openxmlformats.org/officeDocument/2006/relationships/hyperlink" Target="https://wikimili.com/en/Yard" TargetMode="External"/><Relationship Id="rId24" Type="http://schemas.openxmlformats.org/officeDocument/2006/relationships/hyperlink" Target="https://wikimili.com/en/Mile" TargetMode="External"/><Relationship Id="rId32" Type="http://schemas.openxmlformats.org/officeDocument/2006/relationships/hyperlink" Target="https://wikimili.com/en/Scandinavian_mile" TargetMode="External"/><Relationship Id="rId5" Type="http://schemas.openxmlformats.org/officeDocument/2006/relationships/hyperlink" Target="https://wikimili.com/en/Land_of_Israel" TargetMode="External"/><Relationship Id="rId15" Type="http://schemas.openxmlformats.org/officeDocument/2006/relationships/hyperlink" Target="https://wikimili.com/en/Shaku_(unit)" TargetMode="External"/><Relationship Id="rId23" Type="http://schemas.openxmlformats.org/officeDocument/2006/relationships/hyperlink" Target="https://wikimili.com/en/Mile" TargetMode="External"/><Relationship Id="rId28" Type="http://schemas.openxmlformats.org/officeDocument/2006/relationships/hyperlink" Target="https://wikimili.com/en/Mile" TargetMode="External"/><Relationship Id="rId10" Type="http://schemas.openxmlformats.org/officeDocument/2006/relationships/hyperlink" Target="https://en.wikipedia.org/wiki/Wikipedia:Citation_needed" TargetMode="External"/><Relationship Id="rId19" Type="http://schemas.openxmlformats.org/officeDocument/2006/relationships/hyperlink" Target="https://wikimili.com/en/Mile" TargetMode="External"/><Relationship Id="rId31" Type="http://schemas.openxmlformats.org/officeDocument/2006/relationships/hyperlink" Target="https://wikimili.com/en/Prussia" TargetMode="External"/><Relationship Id="rId4" Type="http://schemas.openxmlformats.org/officeDocument/2006/relationships/hyperlink" Target="https://wikimili.com/en/Biblical_mile" TargetMode="External"/><Relationship Id="rId9" Type="http://schemas.openxmlformats.org/officeDocument/2006/relationships/hyperlink" Target="https://wikimili.com/en/Elizabeth_I" TargetMode="External"/><Relationship Id="rId14" Type="http://schemas.openxmlformats.org/officeDocument/2006/relationships/hyperlink" Target="https://wikimili.com/en/Gallo-Roman_culture" TargetMode="External"/><Relationship Id="rId22" Type="http://schemas.openxmlformats.org/officeDocument/2006/relationships/hyperlink" Target="https://wikimili.com/en/Mile" TargetMode="External"/><Relationship Id="rId27" Type="http://schemas.openxmlformats.org/officeDocument/2006/relationships/hyperlink" Target="https://wikimili.com/en/Parasang" TargetMode="External"/><Relationship Id="rId30" Type="http://schemas.openxmlformats.org/officeDocument/2006/relationships/hyperlink" Target="https://wikimili.com/en/Mile"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1" Type="http://schemas.openxmlformats.org/officeDocument/2006/relationships/table" Target="../tables/table1.xml"/></Relationships>
</file>

<file path=xl/worksheets/_rels/sheet17.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 Id="rId4" Type="http://schemas.microsoft.com/office/2017/10/relationships/threadedComment" Target="../threadedComments/threadedComment2.xml"/></Relationships>
</file>

<file path=xl/worksheets/_rels/sheet1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 Id="rId5" Type="http://schemas.microsoft.com/office/2017/10/relationships/threadedComment" Target="../threadedComments/threadedComment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C45BD-2B0D-4121-A282-849942A7220D}">
  <sheetPr>
    <tabColor theme="7" tint="-0.249977111117893"/>
    <pageSetUpPr fitToPage="1"/>
  </sheetPr>
  <dimension ref="A1:I50"/>
  <sheetViews>
    <sheetView zoomScale="85" zoomScaleNormal="85" workbookViewId="0">
      <selection activeCell="H28" sqref="H28"/>
    </sheetView>
  </sheetViews>
  <sheetFormatPr defaultRowHeight="14.6" x14ac:dyDescent="0.4"/>
  <cols>
    <col min="1" max="1" width="27.84375" customWidth="1"/>
    <col min="2" max="2" width="18.53515625" customWidth="1"/>
    <col min="3" max="3" width="12.07421875" customWidth="1"/>
    <col min="4" max="4" width="25.15234375" customWidth="1"/>
    <col min="5" max="5" width="4.3828125" customWidth="1"/>
    <col min="6" max="6" width="35.3046875" customWidth="1"/>
    <col min="7" max="7" width="13" bestFit="1" customWidth="1"/>
    <col min="8" max="8" width="11.69140625" bestFit="1" customWidth="1"/>
    <col min="9" max="9" width="29.53515625" bestFit="1" customWidth="1"/>
  </cols>
  <sheetData>
    <row r="1" spans="1:9" s="110" customFormat="1" ht="18.45" x14ac:dyDescent="0.5">
      <c r="A1" s="107" t="s">
        <v>135</v>
      </c>
      <c r="B1" s="107"/>
      <c r="C1" s="107"/>
      <c r="D1" s="107"/>
      <c r="E1" s="108"/>
      <c r="F1" s="107" t="s">
        <v>136</v>
      </c>
      <c r="G1" s="109"/>
      <c r="H1" s="109"/>
      <c r="I1" s="109"/>
    </row>
    <row r="2" spans="1:9" x14ac:dyDescent="0.4">
      <c r="A2" s="111" t="s">
        <v>137</v>
      </c>
      <c r="B2" s="112"/>
      <c r="C2" s="112"/>
      <c r="D2" s="111" t="s">
        <v>138</v>
      </c>
      <c r="F2" s="111" t="s">
        <v>139</v>
      </c>
      <c r="G2" s="112"/>
      <c r="H2" s="112"/>
      <c r="I2" s="111" t="s">
        <v>138</v>
      </c>
    </row>
    <row r="3" spans="1:9" x14ac:dyDescent="0.4">
      <c r="A3" t="s">
        <v>140</v>
      </c>
      <c r="B3">
        <v>1.22</v>
      </c>
      <c r="D3" t="s">
        <v>141</v>
      </c>
      <c r="F3" t="s">
        <v>110</v>
      </c>
      <c r="G3" s="113">
        <v>6372</v>
      </c>
      <c r="H3" t="s">
        <v>142</v>
      </c>
      <c r="I3" t="s">
        <v>143</v>
      </c>
    </row>
    <row r="4" spans="1:9" x14ac:dyDescent="0.4">
      <c r="A4" t="s">
        <v>20</v>
      </c>
      <c r="B4" s="113">
        <f>'Diffraction Limit'!C5</f>
        <v>666</v>
      </c>
      <c r="C4" t="s">
        <v>144</v>
      </c>
      <c r="D4" t="s">
        <v>145</v>
      </c>
      <c r="F4" t="s">
        <v>146</v>
      </c>
      <c r="G4" s="113">
        <v>1.8</v>
      </c>
      <c r="H4" t="s">
        <v>147</v>
      </c>
      <c r="I4" t="s">
        <v>148</v>
      </c>
    </row>
    <row r="5" spans="1:9" x14ac:dyDescent="0.4">
      <c r="A5" t="s">
        <v>22</v>
      </c>
      <c r="B5" s="113">
        <v>2.16</v>
      </c>
      <c r="C5" t="s">
        <v>149</v>
      </c>
      <c r="D5" t="s">
        <v>150</v>
      </c>
    </row>
    <row r="6" spans="1:9" x14ac:dyDescent="0.4">
      <c r="A6" t="s">
        <v>146</v>
      </c>
      <c r="B6" s="113">
        <v>1.8</v>
      </c>
      <c r="C6" t="s">
        <v>147</v>
      </c>
      <c r="D6" t="s">
        <v>148</v>
      </c>
    </row>
    <row r="8" spans="1:9" x14ac:dyDescent="0.4">
      <c r="A8" s="114" t="s">
        <v>151</v>
      </c>
      <c r="F8" s="114" t="s">
        <v>151</v>
      </c>
    </row>
    <row r="9" spans="1:9" x14ac:dyDescent="0.4">
      <c r="A9" t="s">
        <v>20</v>
      </c>
      <c r="B9" s="101">
        <f>B4*10^-9</f>
        <v>6.6600000000000006E-7</v>
      </c>
      <c r="C9" t="s">
        <v>147</v>
      </c>
      <c r="D9" s="101" t="s">
        <v>152</v>
      </c>
      <c r="F9" t="s">
        <v>153</v>
      </c>
      <c r="G9" s="101">
        <f>G4/1000</f>
        <v>1.8E-3</v>
      </c>
      <c r="H9" t="s">
        <v>142</v>
      </c>
      <c r="I9" s="101" t="s">
        <v>154</v>
      </c>
    </row>
    <row r="10" spans="1:9" x14ac:dyDescent="0.4">
      <c r="A10" t="s">
        <v>22</v>
      </c>
      <c r="B10" s="101">
        <f>B5*10^-3</f>
        <v>2.16E-3</v>
      </c>
      <c r="C10" t="s">
        <v>147</v>
      </c>
      <c r="D10" s="101" t="s">
        <v>155</v>
      </c>
      <c r="F10" t="s">
        <v>156</v>
      </c>
      <c r="G10" s="115">
        <f>G3*0.6213712</f>
        <v>3959.3772864000002</v>
      </c>
      <c r="H10" t="s">
        <v>157</v>
      </c>
      <c r="I10" s="101" t="s">
        <v>158</v>
      </c>
    </row>
    <row r="11" spans="1:9" x14ac:dyDescent="0.4">
      <c r="A11" t="s">
        <v>159</v>
      </c>
      <c r="B11" s="101">
        <f>B3*(B9/B10)</f>
        <v>3.7616666666666668E-4</v>
      </c>
      <c r="C11" t="s">
        <v>160</v>
      </c>
      <c r="D11" s="101" t="s">
        <v>161</v>
      </c>
    </row>
    <row r="12" spans="1:9" x14ac:dyDescent="0.4">
      <c r="A12" t="s">
        <v>162</v>
      </c>
      <c r="B12" s="115">
        <f>B11*180/PI()</f>
        <v>2.1552762393504468E-2</v>
      </c>
      <c r="C12" t="s">
        <v>163</v>
      </c>
      <c r="D12" s="101" t="s">
        <v>164</v>
      </c>
    </row>
    <row r="13" spans="1:9" x14ac:dyDescent="0.4">
      <c r="A13" t="s">
        <v>165</v>
      </c>
      <c r="B13" s="101">
        <f>B6/0.3048</f>
        <v>5.9055118110236222</v>
      </c>
      <c r="C13" t="s">
        <v>166</v>
      </c>
      <c r="D13" s="101" t="s">
        <v>167</v>
      </c>
    </row>
    <row r="15" spans="1:9" x14ac:dyDescent="0.4">
      <c r="A15" s="114" t="s">
        <v>168</v>
      </c>
      <c r="F15" s="114" t="s">
        <v>169</v>
      </c>
    </row>
    <row r="16" spans="1:9" x14ac:dyDescent="0.4">
      <c r="A16" t="s">
        <v>0</v>
      </c>
      <c r="B16" s="101">
        <f>B6/TAN(B11)</f>
        <v>4785.112756134291</v>
      </c>
      <c r="C16" t="s">
        <v>147</v>
      </c>
      <c r="D16" s="101" t="s">
        <v>170</v>
      </c>
      <c r="F16" t="s">
        <v>0</v>
      </c>
      <c r="G16" s="101">
        <f>SQRT(2*G3)*SQRT(G9)*1000</f>
        <v>4789.4884904340252</v>
      </c>
      <c r="H16" t="s">
        <v>147</v>
      </c>
      <c r="I16" t="s">
        <v>171</v>
      </c>
    </row>
    <row r="18" spans="1:9" x14ac:dyDescent="0.4">
      <c r="A18" s="114" t="s">
        <v>172</v>
      </c>
      <c r="F18" s="114" t="s">
        <v>172</v>
      </c>
    </row>
    <row r="19" spans="1:9" x14ac:dyDescent="0.4">
      <c r="A19" s="116" t="s">
        <v>173</v>
      </c>
      <c r="B19" s="117">
        <f>B16*0.0006213712</f>
        <v>2.9733312554144717</v>
      </c>
      <c r="C19" s="116" t="s">
        <v>157</v>
      </c>
      <c r="D19" s="101" t="s">
        <v>174</v>
      </c>
      <c r="F19" s="116" t="s">
        <v>175</v>
      </c>
      <c r="G19" s="117">
        <f>G16*0.0006213712</f>
        <v>2.9760502106871787</v>
      </c>
      <c r="H19" s="116" t="s">
        <v>157</v>
      </c>
      <c r="I19" s="101" t="s">
        <v>176</v>
      </c>
    </row>
    <row r="20" spans="1:9" ht="15" thickBot="1" x14ac:dyDescent="0.45">
      <c r="A20" s="118" t="s">
        <v>177</v>
      </c>
      <c r="F20" s="118" t="s">
        <v>178</v>
      </c>
    </row>
    <row r="21" spans="1:9" x14ac:dyDescent="0.4">
      <c r="A21" s="119" t="s">
        <v>179</v>
      </c>
      <c r="B21" s="120">
        <f>B19/(2*(B12*(PI()/180)))</f>
        <v>3952.1461082159572</v>
      </c>
      <c r="C21" s="121" t="s">
        <v>157</v>
      </c>
      <c r="D21" s="122" t="s">
        <v>180</v>
      </c>
      <c r="F21" s="119" t="s">
        <v>181</v>
      </c>
      <c r="G21" s="120">
        <f>G19/G10/2*180/PI()</f>
        <v>2.1533072546167088E-2</v>
      </c>
      <c r="H21" s="121" t="s">
        <v>163</v>
      </c>
      <c r="I21" s="122" t="s">
        <v>182</v>
      </c>
    </row>
    <row r="22" spans="1:9" ht="15" thickBot="1" x14ac:dyDescent="0.45">
      <c r="A22" s="123" t="s">
        <v>183</v>
      </c>
      <c r="B22" s="74"/>
      <c r="C22" s="74"/>
      <c r="D22" s="75"/>
      <c r="F22" s="123" t="s">
        <v>184</v>
      </c>
      <c r="G22" s="74"/>
      <c r="H22" s="74"/>
      <c r="I22" s="75"/>
    </row>
    <row r="24" spans="1:9" x14ac:dyDescent="0.4">
      <c r="A24" s="111" t="s">
        <v>185</v>
      </c>
      <c r="B24" s="112"/>
    </row>
    <row r="25" spans="1:9" x14ac:dyDescent="0.4">
      <c r="A25" s="101" t="s">
        <v>186</v>
      </c>
    </row>
    <row r="26" spans="1:9" x14ac:dyDescent="0.4">
      <c r="A26" s="101" t="s">
        <v>187</v>
      </c>
    </row>
    <row r="27" spans="1:9" x14ac:dyDescent="0.4">
      <c r="A27" s="113">
        <v>5.9089999999999998</v>
      </c>
      <c r="B27" t="s">
        <v>166</v>
      </c>
    </row>
    <row r="28" spans="1:9" x14ac:dyDescent="0.4">
      <c r="A28">
        <f>A27*0.3048</f>
        <v>1.8010632</v>
      </c>
      <c r="B28" t="s">
        <v>147</v>
      </c>
    </row>
    <row r="30" spans="1:9" x14ac:dyDescent="0.4">
      <c r="A30" t="s">
        <v>188</v>
      </c>
    </row>
    <row r="31" spans="1:9" x14ac:dyDescent="0.4">
      <c r="A31" t="s">
        <v>189</v>
      </c>
      <c r="F31" t="s">
        <v>194</v>
      </c>
    </row>
    <row r="32" spans="1:9" x14ac:dyDescent="0.4">
      <c r="A32" t="s">
        <v>190</v>
      </c>
      <c r="F32" t="s">
        <v>195</v>
      </c>
      <c r="G32" s="14">
        <f>G31 * 1000</f>
        <v>0</v>
      </c>
      <c r="H32" t="s">
        <v>198</v>
      </c>
    </row>
    <row r="33" spans="1:8" x14ac:dyDescent="0.4">
      <c r="A33" t="s">
        <v>191</v>
      </c>
      <c r="F33" t="s">
        <v>196</v>
      </c>
      <c r="H33" t="s">
        <v>202</v>
      </c>
    </row>
    <row r="34" spans="1:8" x14ac:dyDescent="0.4">
      <c r="F34" t="s">
        <v>197</v>
      </c>
      <c r="H34" t="s">
        <v>203</v>
      </c>
    </row>
    <row r="35" spans="1:8" x14ac:dyDescent="0.4">
      <c r="A35" t="s">
        <v>192</v>
      </c>
    </row>
    <row r="36" spans="1:8" x14ac:dyDescent="0.4">
      <c r="A36" t="s">
        <v>193</v>
      </c>
    </row>
    <row r="46" spans="1:8" x14ac:dyDescent="0.4">
      <c r="A46" t="s">
        <v>200</v>
      </c>
    </row>
    <row r="48" spans="1:8" x14ac:dyDescent="0.4">
      <c r="A48" t="s">
        <v>199</v>
      </c>
    </row>
    <row r="50" spans="1:1" x14ac:dyDescent="0.4">
      <c r="A50" t="s">
        <v>201</v>
      </c>
    </row>
  </sheetData>
  <pageMargins left="0.25" right="0.25" top="0.75" bottom="0.75" header="0.3" footer="0.3"/>
  <pageSetup scale="75"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6AE899-BC71-449D-8EC0-67E1FA8FF247}">
  <sheetPr codeName="Sheet12"/>
  <dimension ref="B2:I16"/>
  <sheetViews>
    <sheetView workbookViewId="0">
      <selection activeCell="H15" sqref="H15:H16"/>
    </sheetView>
  </sheetViews>
  <sheetFormatPr defaultRowHeight="14.6" x14ac:dyDescent="0.4"/>
  <cols>
    <col min="2" max="2" width="12" bestFit="1" customWidth="1"/>
    <col min="5" max="5" width="14.61328125" bestFit="1" customWidth="1"/>
    <col min="6" max="6" width="12" bestFit="1" customWidth="1"/>
    <col min="7" max="7" width="9.69140625" customWidth="1"/>
    <col min="8" max="8" width="60.3046875" bestFit="1" customWidth="1"/>
  </cols>
  <sheetData>
    <row r="2" spans="2:9" ht="15" thickBot="1" x14ac:dyDescent="0.45">
      <c r="B2" s="1" t="s">
        <v>33</v>
      </c>
      <c r="C2" s="19">
        <v>3000</v>
      </c>
      <c r="E2" s="1" t="s">
        <v>34</v>
      </c>
      <c r="F2" s="24">
        <f>SQRT(POWER(36, 2) + POWER(24, 2))</f>
        <v>43.266615305567875</v>
      </c>
      <c r="H2" s="25" t="s">
        <v>35</v>
      </c>
    </row>
    <row r="3" spans="2:9" ht="15" thickBot="1" x14ac:dyDescent="0.45">
      <c r="E3" s="1" t="s">
        <v>36</v>
      </c>
      <c r="F3" s="24">
        <f>2 * DEGREES(ATAN(F2 / 2 / C2))</f>
        <v>0.82631716097620422</v>
      </c>
      <c r="H3" s="25" t="s">
        <v>37</v>
      </c>
    </row>
    <row r="5" spans="2:9" ht="15" thickBot="1" x14ac:dyDescent="0.45">
      <c r="B5" s="1" t="s">
        <v>38</v>
      </c>
      <c r="C5" s="26">
        <f>16/9</f>
        <v>1.7777777777777777</v>
      </c>
      <c r="E5" s="1" t="s">
        <v>39</v>
      </c>
      <c r="F5" s="15">
        <f>C5 * SQRT(POWER(F3, 2) / (POWER(C5, 2) + 1))</f>
        <v>0.72019782341306782</v>
      </c>
      <c r="H5" s="25" t="s">
        <v>40</v>
      </c>
      <c r="I5" s="27"/>
    </row>
    <row r="6" spans="2:9" ht="15" thickBot="1" x14ac:dyDescent="0.45">
      <c r="E6" s="1" t="s">
        <v>41</v>
      </c>
      <c r="F6" s="15">
        <f>SQRT(POWER(F3, 2) / (POWER(C5, 2) + 1))</f>
        <v>0.40511127566985067</v>
      </c>
      <c r="H6" s="25" t="s">
        <v>42</v>
      </c>
    </row>
    <row r="9" spans="2:9" ht="15" thickBot="1" x14ac:dyDescent="0.45">
      <c r="B9" s="1" t="s">
        <v>43</v>
      </c>
      <c r="C9" s="19">
        <v>1.8</v>
      </c>
      <c r="E9" s="1" t="s">
        <v>22</v>
      </c>
      <c r="F9" s="16">
        <f>C2 / C9</f>
        <v>1666.6666666666665</v>
      </c>
    </row>
    <row r="11" spans="2:9" ht="15" thickBot="1" x14ac:dyDescent="0.45">
      <c r="B11" s="1" t="s">
        <v>20</v>
      </c>
      <c r="C11" s="19">
        <v>550</v>
      </c>
      <c r="E11" s="1" t="s">
        <v>44</v>
      </c>
      <c r="F11" s="28">
        <f>1.22 * C11 * POWER(10, -9) / (F9 / 1000)</f>
        <v>4.0260000000000002E-7</v>
      </c>
    </row>
    <row r="12" spans="2:9" ht="15" thickBot="1" x14ac:dyDescent="0.45">
      <c r="E12" s="1" t="s">
        <v>45</v>
      </c>
      <c r="F12" s="29">
        <f>DEGREES(F11)</f>
        <v>2.3067280831966946E-5</v>
      </c>
    </row>
    <row r="15" spans="2:9" ht="15" thickBot="1" x14ac:dyDescent="0.45">
      <c r="E15" s="1" t="s">
        <v>0</v>
      </c>
      <c r="F15" s="30">
        <v>48000</v>
      </c>
      <c r="G15" s="30"/>
    </row>
    <row r="16" spans="2:9" ht="15" thickBot="1" x14ac:dyDescent="0.45">
      <c r="E16" s="1"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E636BE-2B42-47BF-A567-E5B35771FE0C}">
  <sheetPr codeName="Sheet16"/>
  <dimension ref="B1:P58"/>
  <sheetViews>
    <sheetView zoomScale="55" zoomScaleNormal="55" workbookViewId="0">
      <selection activeCell="Q47" sqref="Q47"/>
    </sheetView>
  </sheetViews>
  <sheetFormatPr defaultRowHeight="14.6" x14ac:dyDescent="0.4"/>
  <cols>
    <col min="2" max="2" width="18.3046875" bestFit="1" customWidth="1"/>
    <col min="3" max="3" width="15" bestFit="1" customWidth="1"/>
    <col min="4" max="4" width="13.69140625" style="7" bestFit="1" customWidth="1"/>
    <col min="6" max="6" width="18.3046875" bestFit="1" customWidth="1"/>
    <col min="7" max="7" width="13" bestFit="1" customWidth="1"/>
    <col min="8" max="8" width="5.4609375" customWidth="1"/>
    <col min="10" max="10" width="10.3046875" bestFit="1" customWidth="1"/>
    <col min="11" max="11" width="10.61328125" bestFit="1" customWidth="1"/>
    <col min="16" max="16" width="10.15234375" bestFit="1" customWidth="1"/>
  </cols>
  <sheetData>
    <row r="1" spans="2:13" x14ac:dyDescent="0.4">
      <c r="B1" s="124"/>
      <c r="C1" s="125"/>
      <c r="D1" s="125" t="s">
        <v>206</v>
      </c>
      <c r="E1" s="125"/>
      <c r="F1" s="125"/>
      <c r="G1" s="125"/>
      <c r="H1" s="125"/>
      <c r="I1" s="125"/>
      <c r="J1" s="125"/>
      <c r="K1" s="125"/>
      <c r="L1" s="125"/>
      <c r="M1" s="126"/>
    </row>
    <row r="2" spans="2:13" ht="15" thickBot="1" x14ac:dyDescent="0.45">
      <c r="B2" s="129" t="s">
        <v>0</v>
      </c>
      <c r="C2" s="2">
        <v>0.14499999999999999</v>
      </c>
      <c r="D2" s="3" t="s">
        <v>1</v>
      </c>
      <c r="E2" s="13">
        <f>C2* 0.6214</f>
        <v>9.0102999999999989E-2</v>
      </c>
      <c r="M2" s="128"/>
    </row>
    <row r="3" spans="2:13" ht="15" thickBot="1" x14ac:dyDescent="0.45">
      <c r="B3" s="129" t="s">
        <v>2</v>
      </c>
      <c r="C3" s="4">
        <v>20</v>
      </c>
      <c r="D3" s="3" t="s">
        <v>3</v>
      </c>
      <c r="E3" s="13">
        <f>0.3048*C3</f>
        <v>6.0960000000000001</v>
      </c>
      <c r="M3" s="128"/>
    </row>
    <row r="4" spans="2:13" x14ac:dyDescent="0.4">
      <c r="B4" s="127"/>
      <c r="M4" s="128"/>
    </row>
    <row r="5" spans="2:13" ht="15" thickBot="1" x14ac:dyDescent="0.45">
      <c r="B5" s="129" t="s">
        <v>4</v>
      </c>
      <c r="C5" s="5">
        <v>6371</v>
      </c>
      <c r="D5" s="3" t="s">
        <v>1</v>
      </c>
      <c r="E5" s="13">
        <f>C5* 0.6214</f>
        <v>3958.9393999999998</v>
      </c>
      <c r="M5" s="128"/>
    </row>
    <row r="6" spans="2:13" ht="15" thickBot="1" x14ac:dyDescent="0.45">
      <c r="B6" s="129" t="s">
        <v>5</v>
      </c>
      <c r="C6" s="6">
        <f>7/6</f>
        <v>1.1666666666666667</v>
      </c>
      <c r="M6" s="128"/>
    </row>
    <row r="7" spans="2:13" ht="15" thickBot="1" x14ac:dyDescent="0.45">
      <c r="B7" s="129" t="s">
        <v>6</v>
      </c>
      <c r="C7" s="8">
        <f>C5 * C6</f>
        <v>7432.8333333333339</v>
      </c>
      <c r="D7" s="3" t="s">
        <v>1</v>
      </c>
      <c r="E7" s="13">
        <f>C7* 0.6214</f>
        <v>4618.7626333333337</v>
      </c>
      <c r="M7" s="128"/>
    </row>
    <row r="8" spans="2:13" x14ac:dyDescent="0.4">
      <c r="B8" s="127"/>
      <c r="M8" s="128"/>
    </row>
    <row r="9" spans="2:13" ht="18.899999999999999" thickBot="1" x14ac:dyDescent="0.55000000000000004">
      <c r="B9" s="168" t="s">
        <v>7</v>
      </c>
      <c r="C9" s="169"/>
      <c r="D9" s="169"/>
      <c r="F9" s="170" t="s">
        <v>8</v>
      </c>
      <c r="G9" s="170"/>
      <c r="H9" s="170"/>
      <c r="M9" s="128"/>
    </row>
    <row r="10" spans="2:13" x14ac:dyDescent="0.4">
      <c r="B10" s="127"/>
      <c r="M10" s="128"/>
    </row>
    <row r="11" spans="2:13" ht="15" thickBot="1" x14ac:dyDescent="0.45">
      <c r="B11" s="129" t="s">
        <v>9</v>
      </c>
      <c r="C11" s="9">
        <f>ACOS(C7 / (C7 + (C3 / 1000)))</f>
        <v>2.3198094401262193E-3</v>
      </c>
      <c r="D11" s="3" t="s">
        <v>10</v>
      </c>
      <c r="F11" s="1" t="s">
        <v>9</v>
      </c>
      <c r="G11" s="9">
        <f>ACOS(C5 / (C5 + (C3 / 1000)))</f>
        <v>2.5056801070231227E-3</v>
      </c>
      <c r="H11" s="3" t="s">
        <v>10</v>
      </c>
      <c r="M11" s="128"/>
    </row>
    <row r="12" spans="2:13" ht="15" thickBot="1" x14ac:dyDescent="0.45">
      <c r="B12" s="129" t="s">
        <v>11</v>
      </c>
      <c r="C12" s="9">
        <f>C2 / C7</f>
        <v>1.9508038657308786E-5</v>
      </c>
      <c r="D12" s="3" t="s">
        <v>10</v>
      </c>
      <c r="F12" s="1" t="s">
        <v>11</v>
      </c>
      <c r="G12" s="9">
        <f>C2 / C5</f>
        <v>2.2759378433526916E-5</v>
      </c>
      <c r="H12" s="3" t="s">
        <v>10</v>
      </c>
      <c r="M12" s="128"/>
    </row>
    <row r="13" spans="2:13" x14ac:dyDescent="0.4">
      <c r="B13" s="127"/>
      <c r="H13" s="7"/>
      <c r="M13" s="128"/>
    </row>
    <row r="14" spans="2:13" ht="15" thickBot="1" x14ac:dyDescent="0.45">
      <c r="B14" s="129" t="s">
        <v>12</v>
      </c>
      <c r="C14" s="10">
        <f>C11 * C7</f>
        <v>17.242756933551501</v>
      </c>
      <c r="D14" s="3" t="s">
        <v>1</v>
      </c>
      <c r="E14" s="13">
        <f>C14* 0.6214</f>
        <v>10.714649158508902</v>
      </c>
      <c r="F14" s="1" t="s">
        <v>12</v>
      </c>
      <c r="G14" s="11">
        <f>G11 * C5</f>
        <v>15.963687961844315</v>
      </c>
      <c r="H14" s="3" t="s">
        <v>1</v>
      </c>
      <c r="I14" s="13">
        <f>G14* 0.6214</f>
        <v>9.9198356994900561</v>
      </c>
      <c r="M14" s="128"/>
    </row>
    <row r="15" spans="2:13" ht="15" thickBot="1" x14ac:dyDescent="0.45">
      <c r="B15" s="129" t="s">
        <v>13</v>
      </c>
      <c r="C15" s="12">
        <f>(C7 - (C7 * COS(C2 / C7))) * 1000</f>
        <v>1.4143324733595364E-3</v>
      </c>
      <c r="D15" s="3" t="s">
        <v>3</v>
      </c>
      <c r="E15" s="13">
        <f>0.3048*C15</f>
        <v>4.3108853787998669E-4</v>
      </c>
      <c r="F15" s="1" t="s">
        <v>13</v>
      </c>
      <c r="G15" s="12">
        <f>(C5 - (C5 * COS(C2 / C5))) * 1000</f>
        <v>1.6500544006703421E-3</v>
      </c>
      <c r="H15" s="3" t="s">
        <v>3</v>
      </c>
      <c r="I15" s="13">
        <f>0.3048*G15</f>
        <v>5.0293658132432033E-4</v>
      </c>
      <c r="M15" s="128"/>
    </row>
    <row r="16" spans="2:13" ht="15" thickBot="1" x14ac:dyDescent="0.45">
      <c r="B16" s="129" t="s">
        <v>14</v>
      </c>
      <c r="C16" s="11">
        <f>((C7 / COS(C12 - C11)) - C7) * 1000</f>
        <v>19.665040474137641</v>
      </c>
      <c r="D16" s="3" t="s">
        <v>3</v>
      </c>
      <c r="E16" s="13">
        <f>0.3048*C16</f>
        <v>5.9939043365171534</v>
      </c>
      <c r="F16" s="1" t="s">
        <v>14</v>
      </c>
      <c r="G16" s="14">
        <f>((C5 / COS(G12 - G11)) - C5) * 1000</f>
        <v>19.638324564766663</v>
      </c>
      <c r="H16" s="3" t="s">
        <v>3</v>
      </c>
      <c r="I16" s="13">
        <f>0.3048*G16</f>
        <v>5.985761327340879</v>
      </c>
      <c r="J16" s="1" t="s">
        <v>15</v>
      </c>
      <c r="K16" s="14">
        <f>G16 - C16</f>
        <v>-2.6715909370977897E-2</v>
      </c>
      <c r="L16" s="3" t="s">
        <v>3</v>
      </c>
      <c r="M16" s="137">
        <f>0.3048*K16</f>
        <v>-8.1430091762740627E-3</v>
      </c>
    </row>
    <row r="17" spans="2:16" ht="15" thickBot="1" x14ac:dyDescent="0.45">
      <c r="B17" s="129" t="s">
        <v>16</v>
      </c>
      <c r="C17" s="15">
        <f>DEGREES(C11)</f>
        <v>0.1329152901938388</v>
      </c>
      <c r="D17" s="3" t="s">
        <v>17</v>
      </c>
      <c r="F17" s="1" t="s">
        <v>16</v>
      </c>
      <c r="G17" s="15">
        <f>DEGREES(G11)</f>
        <v>0.14356489494231336</v>
      </c>
      <c r="H17" s="3" t="s">
        <v>17</v>
      </c>
      <c r="J17" s="1" t="s">
        <v>18</v>
      </c>
      <c r="K17" s="16">
        <f>DEGREES(2 * ATAN(K16 / (2 * C2 * 1000)))</f>
        <v>-1.0556612748143217E-2</v>
      </c>
      <c r="L17" s="3" t="s">
        <v>17</v>
      </c>
      <c r="M17" s="128"/>
    </row>
    <row r="18" spans="2:16" x14ac:dyDescent="0.4">
      <c r="B18" s="134"/>
      <c r="C18" s="112"/>
      <c r="D18" s="140"/>
      <c r="E18" s="112"/>
      <c r="F18" s="112"/>
      <c r="G18" s="112"/>
      <c r="H18" s="112"/>
      <c r="I18" s="112"/>
      <c r="J18" s="112"/>
      <c r="K18" s="112"/>
      <c r="L18" s="112"/>
      <c r="M18" s="138"/>
    </row>
    <row r="19" spans="2:16" ht="15" hidden="1" customHeight="1" x14ac:dyDescent="0.4"/>
    <row r="20" spans="2:16" hidden="1" x14ac:dyDescent="0.4"/>
    <row r="21" spans="2:16" hidden="1" x14ac:dyDescent="0.4"/>
    <row r="22" spans="2:16" hidden="1" x14ac:dyDescent="0.4"/>
    <row r="23" spans="2:16" hidden="1" x14ac:dyDescent="0.4"/>
    <row r="25" spans="2:16" x14ac:dyDescent="0.4">
      <c r="D25"/>
      <c r="I25" s="124"/>
      <c r="J25" s="125"/>
      <c r="K25" s="125"/>
      <c r="L25" s="125"/>
      <c r="M25" s="125"/>
      <c r="N25" s="125"/>
      <c r="O25" s="125"/>
      <c r="P25" s="126"/>
    </row>
    <row r="26" spans="2:16" x14ac:dyDescent="0.4">
      <c r="C26" s="124"/>
      <c r="D26" s="125" t="s">
        <v>205</v>
      </c>
      <c r="E26" s="125"/>
      <c r="F26" s="126"/>
      <c r="I26" s="127"/>
      <c r="J26" t="s">
        <v>204</v>
      </c>
      <c r="P26" s="128"/>
    </row>
    <row r="27" spans="2:16" ht="20.149999999999999" thickBot="1" x14ac:dyDescent="0.6">
      <c r="C27" s="171" t="s">
        <v>19</v>
      </c>
      <c r="D27" s="172"/>
      <c r="E27" s="172"/>
      <c r="F27" s="128"/>
      <c r="I27" s="173" t="s">
        <v>115</v>
      </c>
      <c r="J27" s="174"/>
      <c r="K27" s="174"/>
      <c r="M27" s="174" t="s">
        <v>116</v>
      </c>
      <c r="N27" s="174"/>
      <c r="O27" s="174"/>
      <c r="P27" s="128"/>
    </row>
    <row r="28" spans="2:16" ht="15" thickTop="1" x14ac:dyDescent="0.4">
      <c r="C28" s="127"/>
      <c r="D28"/>
      <c r="F28" s="128"/>
      <c r="I28" s="127"/>
      <c r="P28" s="128"/>
    </row>
    <row r="29" spans="2:16" ht="15" thickBot="1" x14ac:dyDescent="0.45">
      <c r="C29" s="129" t="s">
        <v>20</v>
      </c>
      <c r="D29" s="19">
        <v>666</v>
      </c>
      <c r="E29" s="1" t="s">
        <v>21</v>
      </c>
      <c r="F29" s="128"/>
      <c r="I29" s="129" t="s">
        <v>110</v>
      </c>
      <c r="J29" s="19">
        <v>6371</v>
      </c>
      <c r="K29" s="1" t="s">
        <v>1</v>
      </c>
      <c r="L29" s="13">
        <f>J29* 0.6214</f>
        <v>3958.9393999999998</v>
      </c>
      <c r="M29" s="1" t="s">
        <v>117</v>
      </c>
      <c r="N29" s="97">
        <f>(J33 * J29) / (J33 - 1)</f>
        <v>44596.999999999985</v>
      </c>
      <c r="O29" s="1" t="s">
        <v>1</v>
      </c>
      <c r="P29" s="137">
        <f>N29* 0.6214</f>
        <v>27712.575799999988</v>
      </c>
    </row>
    <row r="30" spans="2:16" ht="15" thickBot="1" x14ac:dyDescent="0.45">
      <c r="C30" s="129" t="s">
        <v>22</v>
      </c>
      <c r="D30" s="19">
        <v>150</v>
      </c>
      <c r="E30" s="1" t="s">
        <v>23</v>
      </c>
      <c r="F30" s="128"/>
      <c r="I30" s="127"/>
      <c r="P30" s="128"/>
    </row>
    <row r="31" spans="2:16" ht="15" thickBot="1" x14ac:dyDescent="0.45">
      <c r="C31" s="127"/>
      <c r="D31"/>
      <c r="F31" s="128"/>
      <c r="I31" s="129" t="s">
        <v>118</v>
      </c>
      <c r="J31" s="19">
        <v>0.05</v>
      </c>
      <c r="K31" s="1" t="s">
        <v>1</v>
      </c>
      <c r="M31" s="1" t="s">
        <v>119</v>
      </c>
      <c r="N31" s="90">
        <f>(2 * J29 * J31 + J31^2) / (2 * (J29 - N29))</f>
        <v>-8.3333660335897074E-3</v>
      </c>
      <c r="P31" s="128"/>
    </row>
    <row r="32" spans="2:16" ht="15" thickBot="1" x14ac:dyDescent="0.45">
      <c r="C32" s="129" t="s">
        <v>24</v>
      </c>
      <c r="D32" s="20">
        <f>1.22 * (D29 * POWER(10, -9)) / (D30 * POWER(10, -3))</f>
        <v>5.4168000000000004E-6</v>
      </c>
      <c r="F32" s="128"/>
      <c r="I32" s="127"/>
      <c r="P32" s="128"/>
    </row>
    <row r="33" spans="3:16" ht="15" thickBot="1" x14ac:dyDescent="0.45">
      <c r="C33" s="129" t="s">
        <v>25</v>
      </c>
      <c r="D33" s="21">
        <f>ASIN(D32)</f>
        <v>5.4168000000264896E-6</v>
      </c>
      <c r="E33" s="1" t="s">
        <v>26</v>
      </c>
      <c r="F33" s="128"/>
      <c r="I33" s="129" t="s">
        <v>120</v>
      </c>
      <c r="J33" s="98">
        <f>7/6</f>
        <v>1.1666666666666667</v>
      </c>
      <c r="M33" s="1" t="s">
        <v>121</v>
      </c>
      <c r="N33" s="99">
        <f>SQRT(2 * J29 * J31 + J31^2 - N31^2 - 2 * N31 * J29)</f>
        <v>27.263275308645706</v>
      </c>
      <c r="P33" s="128"/>
    </row>
    <row r="34" spans="3:16" ht="15" thickBot="1" x14ac:dyDescent="0.45">
      <c r="C34" s="129" t="s">
        <v>27</v>
      </c>
      <c r="D34" s="20">
        <f>DEGREES(D33)</f>
        <v>3.1035977846798209E-4</v>
      </c>
      <c r="E34" s="1" t="s">
        <v>28</v>
      </c>
      <c r="F34" s="128"/>
      <c r="I34" s="127"/>
      <c r="P34" s="128"/>
    </row>
    <row r="35" spans="3:16" ht="15" thickBot="1" x14ac:dyDescent="0.45">
      <c r="C35" s="129" t="s">
        <v>29</v>
      </c>
      <c r="D35" s="21">
        <f>D34 * 60 * 60</f>
        <v>1.1172952024847356</v>
      </c>
      <c r="E35" s="1" t="s">
        <v>30</v>
      </c>
      <c r="F35" s="128"/>
      <c r="I35" s="129" t="s">
        <v>6</v>
      </c>
      <c r="J35" s="34">
        <f>J29 * J33</f>
        <v>7432.8333333333339</v>
      </c>
      <c r="K35" s="1" t="s">
        <v>1</v>
      </c>
      <c r="L35" s="13">
        <f>J35* 0.6214</f>
        <v>4618.7626333333337</v>
      </c>
      <c r="P35" s="128"/>
    </row>
    <row r="36" spans="3:16" x14ac:dyDescent="0.4">
      <c r="C36" s="127"/>
      <c r="D36"/>
      <c r="F36" s="128"/>
      <c r="I36" s="127"/>
      <c r="P36" s="128"/>
    </row>
    <row r="37" spans="3:16" ht="15" thickBot="1" x14ac:dyDescent="0.45">
      <c r="C37" s="129" t="s">
        <v>0</v>
      </c>
      <c r="D37" s="5">
        <v>260000</v>
      </c>
      <c r="E37" s="1" t="s">
        <v>31</v>
      </c>
      <c r="F37" s="137">
        <f>D37*0.0006213712</f>
        <v>161.556512</v>
      </c>
      <c r="I37" s="127" t="s">
        <v>0</v>
      </c>
      <c r="J37" s="100">
        <f>J35 * ACOS(J35 / (J35 + J31))</f>
        <v>27.263146676371008</v>
      </c>
      <c r="K37" s="1" t="s">
        <v>1</v>
      </c>
      <c r="L37" s="13">
        <f>J37* 0.6214</f>
        <v>16.941319344696943</v>
      </c>
      <c r="M37" t="s">
        <v>0</v>
      </c>
      <c r="N37" s="15">
        <f>J29 * ATAN2(N31 + J29, N33)</f>
        <v>27.263144553676739</v>
      </c>
      <c r="O37" s="1" t="s">
        <v>1</v>
      </c>
      <c r="P37" s="137">
        <f>N37* 0.6214</f>
        <v>16.941318025654724</v>
      </c>
    </row>
    <row r="38" spans="3:16" x14ac:dyDescent="0.4">
      <c r="C38" s="127"/>
      <c r="D38"/>
      <c r="F38" s="128"/>
      <c r="I38" s="134"/>
      <c r="J38" s="112"/>
      <c r="K38" s="112"/>
      <c r="L38" s="112"/>
      <c r="M38" s="112"/>
      <c r="N38" s="112"/>
      <c r="O38" s="112"/>
      <c r="P38" s="138"/>
    </row>
    <row r="39" spans="3:16" ht="15" thickBot="1" x14ac:dyDescent="0.45">
      <c r="C39" s="129" t="s">
        <v>32</v>
      </c>
      <c r="D39" s="22">
        <f>2 * (TAN(D33 / 2)) * D37</f>
        <v>1.4083680000103309</v>
      </c>
      <c r="E39" s="1" t="s">
        <v>31</v>
      </c>
      <c r="F39" s="137">
        <f>0.3048*D39</f>
        <v>0.42927056640314887</v>
      </c>
    </row>
    <row r="40" spans="3:16" x14ac:dyDescent="0.4">
      <c r="C40" s="134"/>
      <c r="D40" s="139">
        <f>D39 * 1000</f>
        <v>1408.3680000103309</v>
      </c>
      <c r="E40" s="135" t="s">
        <v>23</v>
      </c>
      <c r="F40" s="138"/>
    </row>
    <row r="41" spans="3:16" ht="51.9" customHeight="1" x14ac:dyDescent="0.4">
      <c r="D41"/>
    </row>
    <row r="42" spans="3:16" x14ac:dyDescent="0.4">
      <c r="C42" s="124"/>
      <c r="D42" s="125" t="s">
        <v>33</v>
      </c>
      <c r="E42" s="125"/>
      <c r="F42" s="125"/>
      <c r="G42" s="126"/>
    </row>
    <row r="43" spans="3:16" x14ac:dyDescent="0.4">
      <c r="C43" s="127"/>
      <c r="D43"/>
      <c r="G43" s="128"/>
    </row>
    <row r="44" spans="3:16" ht="15" thickBot="1" x14ac:dyDescent="0.45">
      <c r="C44" s="129" t="s">
        <v>33</v>
      </c>
      <c r="D44" s="19">
        <v>3000</v>
      </c>
      <c r="F44" s="1" t="s">
        <v>34</v>
      </c>
      <c r="G44" s="130">
        <f>SQRT(POWER(36, 2) + POWER(24, 2))</f>
        <v>43.266615305567875</v>
      </c>
    </row>
    <row r="45" spans="3:16" ht="15" thickBot="1" x14ac:dyDescent="0.45">
      <c r="C45" s="127"/>
      <c r="D45"/>
      <c r="F45" s="1" t="s">
        <v>36</v>
      </c>
      <c r="G45" s="130">
        <f>2 * DEGREES(ATAN(G44 / 2 / D44))</f>
        <v>0.82631716097620422</v>
      </c>
    </row>
    <row r="46" spans="3:16" x14ac:dyDescent="0.4">
      <c r="C46" s="127"/>
      <c r="D46"/>
      <c r="G46" s="128"/>
    </row>
    <row r="47" spans="3:16" ht="15" thickBot="1" x14ac:dyDescent="0.45">
      <c r="C47" s="129" t="s">
        <v>38</v>
      </c>
      <c r="D47" s="26">
        <f>16/9</f>
        <v>1.7777777777777777</v>
      </c>
      <c r="F47" s="1" t="s">
        <v>39</v>
      </c>
      <c r="G47" s="131">
        <f>D47 * SQRT(POWER(G45, 2) / (POWER(D47, 2) + 1))</f>
        <v>0.72019782341306782</v>
      </c>
    </row>
    <row r="48" spans="3:16" ht="15" thickBot="1" x14ac:dyDescent="0.45">
      <c r="C48" s="127"/>
      <c r="D48"/>
      <c r="F48" s="1" t="s">
        <v>41</v>
      </c>
      <c r="G48" s="131">
        <f>SQRT(POWER(G45, 2) / (POWER(D47, 2) + 1))</f>
        <v>0.40511127566985067</v>
      </c>
    </row>
    <row r="49" spans="3:7" x14ac:dyDescent="0.4">
      <c r="C49" s="127"/>
      <c r="D49"/>
      <c r="G49" s="128"/>
    </row>
    <row r="50" spans="3:7" x14ac:dyDescent="0.4">
      <c r="C50" s="127"/>
      <c r="D50"/>
      <c r="G50" s="128"/>
    </row>
    <row r="51" spans="3:7" ht="15" thickBot="1" x14ac:dyDescent="0.45">
      <c r="C51" s="129" t="s">
        <v>43</v>
      </c>
      <c r="D51" s="19">
        <v>1.8</v>
      </c>
      <c r="F51" s="1" t="s">
        <v>22</v>
      </c>
      <c r="G51" s="132">
        <f>D44 / D51</f>
        <v>1666.6666666666665</v>
      </c>
    </row>
    <row r="52" spans="3:7" x14ac:dyDescent="0.4">
      <c r="C52" s="127"/>
      <c r="D52"/>
      <c r="G52" s="128"/>
    </row>
    <row r="53" spans="3:7" ht="15" thickBot="1" x14ac:dyDescent="0.45">
      <c r="C53" s="129" t="s">
        <v>20</v>
      </c>
      <c r="D53" s="19">
        <v>550</v>
      </c>
      <c r="F53" s="1" t="s">
        <v>44</v>
      </c>
      <c r="G53" s="133">
        <f>1.22 * D53 * POWER(10, -9) / (G51 / 1000)</f>
        <v>4.0260000000000002E-7</v>
      </c>
    </row>
    <row r="54" spans="3:7" x14ac:dyDescent="0.4">
      <c r="C54" s="134"/>
      <c r="D54" s="112"/>
      <c r="E54" s="112"/>
      <c r="F54" s="135" t="s">
        <v>45</v>
      </c>
      <c r="G54" s="136">
        <f>DEGREES(G53)</f>
        <v>2.3067280831966946E-5</v>
      </c>
    </row>
    <row r="55" spans="3:7" x14ac:dyDescent="0.4">
      <c r="D55"/>
    </row>
    <row r="56" spans="3:7" x14ac:dyDescent="0.4">
      <c r="D56"/>
    </row>
    <row r="57" spans="3:7" ht="15" thickBot="1" x14ac:dyDescent="0.45">
      <c r="D57"/>
      <c r="F57" s="1" t="s">
        <v>0</v>
      </c>
      <c r="G57" s="30">
        <v>48000</v>
      </c>
    </row>
    <row r="58" spans="3:7" ht="15" thickBot="1" x14ac:dyDescent="0.45">
      <c r="D58"/>
      <c r="F58" s="1" t="s">
        <v>46</v>
      </c>
    </row>
  </sheetData>
  <mergeCells count="5">
    <mergeCell ref="B9:D9"/>
    <mergeCell ref="F9:H9"/>
    <mergeCell ref="C27:E27"/>
    <mergeCell ref="I27:K27"/>
    <mergeCell ref="M27:O27"/>
  </mergeCells>
  <pageMargins left="0.7" right="0.7" top="0.75" bottom="0.75" header="0.3" footer="0.3"/>
  <pageSetup orientation="portrait" horizontalDpi="4294967293" verticalDpi="0"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952AC-03D0-492C-986C-81A144065658}">
  <sheetPr codeName="Sheet15"/>
  <dimension ref="B3:F16"/>
  <sheetViews>
    <sheetView zoomScale="85" zoomScaleNormal="85" workbookViewId="0">
      <selection activeCell="S16" sqref="S16"/>
    </sheetView>
  </sheetViews>
  <sheetFormatPr defaultRowHeight="14.6" x14ac:dyDescent="0.4"/>
  <cols>
    <col min="2" max="2" width="11.765625" bestFit="1" customWidth="1"/>
    <col min="3" max="3" width="14.07421875" bestFit="1" customWidth="1"/>
  </cols>
  <sheetData>
    <row r="3" spans="2:6" x14ac:dyDescent="0.4">
      <c r="B3" s="172" t="s">
        <v>19</v>
      </c>
      <c r="C3" s="172"/>
      <c r="D3" s="172"/>
    </row>
    <row r="5" spans="2:6" ht="15" thickBot="1" x14ac:dyDescent="0.45">
      <c r="B5" s="1" t="s">
        <v>20</v>
      </c>
      <c r="C5" s="19">
        <v>666</v>
      </c>
      <c r="D5" s="1" t="s">
        <v>21</v>
      </c>
    </row>
    <row r="6" spans="2:6" ht="15" thickBot="1" x14ac:dyDescent="0.45">
      <c r="B6" s="1" t="s">
        <v>22</v>
      </c>
      <c r="C6" s="19">
        <v>150</v>
      </c>
      <c r="D6" s="1" t="s">
        <v>23</v>
      </c>
    </row>
    <row r="8" spans="2:6" ht="15" thickBot="1" x14ac:dyDescent="0.45">
      <c r="B8" s="1" t="s">
        <v>24</v>
      </c>
      <c r="C8" s="20">
        <f>1.22 * (C5 * POWER(10, -9)) / (C6 * POWER(10, -3))</f>
        <v>5.4168000000000004E-6</v>
      </c>
    </row>
    <row r="9" spans="2:6" ht="15" thickBot="1" x14ac:dyDescent="0.45">
      <c r="B9" s="1" t="s">
        <v>25</v>
      </c>
      <c r="C9" s="21">
        <f>ASIN(C8)</f>
        <v>5.4168000000264896E-6</v>
      </c>
      <c r="D9" s="1" t="s">
        <v>26</v>
      </c>
    </row>
    <row r="10" spans="2:6" ht="15" thickBot="1" x14ac:dyDescent="0.45">
      <c r="B10" s="1" t="s">
        <v>27</v>
      </c>
      <c r="C10" s="20">
        <f>DEGREES(C9)</f>
        <v>3.1035977846798209E-4</v>
      </c>
      <c r="D10" s="1" t="s">
        <v>28</v>
      </c>
    </row>
    <row r="11" spans="2:6" ht="15" thickBot="1" x14ac:dyDescent="0.45">
      <c r="B11" s="1" t="s">
        <v>29</v>
      </c>
      <c r="C11" s="21">
        <f>C10 * 60 * 60</f>
        <v>1.1172952024847356</v>
      </c>
      <c r="D11" s="1" t="s">
        <v>30</v>
      </c>
    </row>
    <row r="13" spans="2:6" ht="15" thickBot="1" x14ac:dyDescent="0.45">
      <c r="B13" s="1" t="s">
        <v>0</v>
      </c>
      <c r="C13" s="5">
        <v>260000</v>
      </c>
      <c r="D13" s="1" t="s">
        <v>31</v>
      </c>
    </row>
    <row r="15" spans="2:6" ht="15" thickBot="1" x14ac:dyDescent="0.45">
      <c r="B15" s="1" t="s">
        <v>32</v>
      </c>
      <c r="C15" s="22">
        <f>2 * (TAN(C9 / 2)) * C13</f>
        <v>1.4083680000103309</v>
      </c>
      <c r="D15" s="1" t="s">
        <v>31</v>
      </c>
      <c r="F15" s="23"/>
    </row>
    <row r="16" spans="2:6" ht="15" thickBot="1" x14ac:dyDescent="0.45">
      <c r="C16" s="14">
        <f>C15 * 1000</f>
        <v>1408.3680000103309</v>
      </c>
      <c r="D16" s="1" t="s">
        <v>23</v>
      </c>
    </row>
  </sheetData>
  <mergeCells count="1">
    <mergeCell ref="B3:D3"/>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7CFABB-1ACC-4059-BD44-A547DC70D945}">
  <dimension ref="B4:G18"/>
  <sheetViews>
    <sheetView topLeftCell="B1" workbookViewId="0">
      <selection activeCell="K23" sqref="K23"/>
    </sheetView>
  </sheetViews>
  <sheetFormatPr defaultRowHeight="14.6" x14ac:dyDescent="0.4"/>
  <cols>
    <col min="3" max="3" width="10.3828125" bestFit="1" customWidth="1"/>
    <col min="4" max="4" width="11.3828125" bestFit="1" customWidth="1"/>
    <col min="5" max="5" width="4.3046875" customWidth="1"/>
    <col min="6" max="6" width="5" customWidth="1"/>
  </cols>
  <sheetData>
    <row r="4" spans="2:7" s="166" customFormat="1" ht="18.45" x14ac:dyDescent="0.5">
      <c r="B4" s="166" t="s">
        <v>1154</v>
      </c>
      <c r="C4" s="166" t="s">
        <v>69</v>
      </c>
      <c r="D4" s="166" t="s">
        <v>70</v>
      </c>
    </row>
    <row r="5" spans="2:7" x14ac:dyDescent="0.4">
      <c r="B5" t="s">
        <v>1155</v>
      </c>
      <c r="C5" s="33">
        <v>-13.928660965552268</v>
      </c>
      <c r="D5" s="33">
        <v>-155.07860378295786</v>
      </c>
    </row>
    <row r="6" spans="2:7" x14ac:dyDescent="0.4">
      <c r="B6" t="s">
        <v>1156</v>
      </c>
      <c r="C6" s="33">
        <v>15</v>
      </c>
      <c r="D6" s="33">
        <v>-155.07860378295786</v>
      </c>
    </row>
    <row r="8" spans="2:7" x14ac:dyDescent="0.4">
      <c r="C8" t="s">
        <v>157</v>
      </c>
      <c r="D8" s="167">
        <f>ACOS(COS(RADIANS(90-C6)) *COS(RADIANS(90-C5)) +SIN(RADIANS(90-C6)) *SIN(RADIANS(90-C5)) *COS(RADIANS(D6-D5))) *3959</f>
        <v>1998.9006125044712</v>
      </c>
    </row>
    <row r="9" spans="2:7" x14ac:dyDescent="0.4">
      <c r="D9">
        <f>ACOS(COS(RADIANS(90 - C6)) * COS(RADIANS(90 - C5)) + SIN(RADIANS(90 - C6)) * SIN(RADIANS(90 - C5)) * COS(RADIANS(D6 - D5))) * 3959</f>
        <v>1998.9006125044712</v>
      </c>
    </row>
    <row r="12" spans="2:7" hidden="1" x14ac:dyDescent="0.4"/>
    <row r="13" spans="2:7" hidden="1" x14ac:dyDescent="0.4"/>
    <row r="14" spans="2:7" hidden="1" x14ac:dyDescent="0.4"/>
    <row r="15" spans="2:7" hidden="1" x14ac:dyDescent="0.4"/>
    <row r="16" spans="2:7" x14ac:dyDescent="0.4">
      <c r="G16" t="s">
        <v>1157</v>
      </c>
    </row>
    <row r="17" spans="7:7" x14ac:dyDescent="0.4">
      <c r="G17" t="s">
        <v>1158</v>
      </c>
    </row>
    <row r="18" spans="7:7" ht="18.45" x14ac:dyDescent="0.5">
      <c r="G18" s="166" t="s">
        <v>1159</v>
      </c>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354AB1-4C27-4310-9197-60689E403540}">
  <sheetPr codeName="Sheet37"/>
  <dimension ref="B1:H11"/>
  <sheetViews>
    <sheetView workbookViewId="0">
      <selection activeCell="N8" sqref="N8"/>
    </sheetView>
  </sheetViews>
  <sheetFormatPr defaultRowHeight="14.6" x14ac:dyDescent="0.4"/>
  <cols>
    <col min="2" max="2" width="13.69140625" bestFit="1" customWidth="1"/>
    <col min="6" max="6" width="10.53515625" bestFit="1" customWidth="1"/>
    <col min="7" max="7" width="11.69140625" bestFit="1" customWidth="1"/>
  </cols>
  <sheetData>
    <row r="1" spans="2:8" ht="20.149999999999999" thickBot="1" x14ac:dyDescent="0.6">
      <c r="B1" s="174" t="s">
        <v>115</v>
      </c>
      <c r="C1" s="174"/>
      <c r="D1" s="174"/>
      <c r="F1" s="174" t="s">
        <v>116</v>
      </c>
      <c r="G1" s="174"/>
      <c r="H1" s="174"/>
    </row>
    <row r="2" spans="2:8" ht="15" thickTop="1" x14ac:dyDescent="0.4"/>
    <row r="3" spans="2:8" ht="15" thickBot="1" x14ac:dyDescent="0.45">
      <c r="B3" s="1" t="s">
        <v>110</v>
      </c>
      <c r="C3" s="19">
        <v>6371</v>
      </c>
      <c r="D3" s="1" t="s">
        <v>1</v>
      </c>
      <c r="F3" s="1" t="s">
        <v>117</v>
      </c>
      <c r="G3" s="97">
        <f>(C7 * C3) / (C7 - 1)</f>
        <v>44596.999999999985</v>
      </c>
      <c r="H3" s="1" t="s">
        <v>1</v>
      </c>
    </row>
    <row r="5" spans="2:8" ht="15" thickBot="1" x14ac:dyDescent="0.45">
      <c r="B5" s="1" t="s">
        <v>118</v>
      </c>
      <c r="C5" s="19">
        <v>0.05</v>
      </c>
      <c r="D5" s="1" t="s">
        <v>1</v>
      </c>
      <c r="F5" s="1" t="s">
        <v>119</v>
      </c>
      <c r="G5" s="90">
        <f>(2 * C3 * C5 + C5^2) / (2 * (C3 - G3))</f>
        <v>-8.3333660335897074E-3</v>
      </c>
    </row>
    <row r="7" spans="2:8" ht="15" thickBot="1" x14ac:dyDescent="0.45">
      <c r="B7" s="1" t="s">
        <v>120</v>
      </c>
      <c r="C7" s="98">
        <f>7/6</f>
        <v>1.1666666666666667</v>
      </c>
      <c r="F7" s="1" t="s">
        <v>121</v>
      </c>
      <c r="G7" s="99">
        <f>SQRT(2 * C3 * C5 + C5^2 - G5^2 - 2 * G5 * C3)</f>
        <v>27.263275308645706</v>
      </c>
    </row>
    <row r="9" spans="2:8" ht="15" thickBot="1" x14ac:dyDescent="0.45">
      <c r="B9" s="1" t="s">
        <v>6</v>
      </c>
      <c r="C9" s="34">
        <f>C3 * C7</f>
        <v>7432.8333333333339</v>
      </c>
      <c r="D9" s="1" t="s">
        <v>1</v>
      </c>
    </row>
    <row r="11" spans="2:8" ht="15" thickBot="1" x14ac:dyDescent="0.45">
      <c r="B11" t="s">
        <v>0</v>
      </c>
      <c r="C11" s="100">
        <f>C9 * ACOS(C9 / (C9 + C5))</f>
        <v>27.263146676371008</v>
      </c>
      <c r="D11" s="1" t="s">
        <v>1</v>
      </c>
      <c r="F11" t="s">
        <v>0</v>
      </c>
      <c r="G11" s="15">
        <f>C3 * ATAN2(G5 + C3, G7)</f>
        <v>27.263144553676739</v>
      </c>
      <c r="H11" s="1" t="s">
        <v>1</v>
      </c>
    </row>
  </sheetData>
  <mergeCells count="2">
    <mergeCell ref="B1:D1"/>
    <mergeCell ref="F1:H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B19A75-9684-4DF2-83E5-AAB9EBC5DC5D}">
  <dimension ref="A4:Q56"/>
  <sheetViews>
    <sheetView zoomScaleNormal="100" workbookViewId="0">
      <selection activeCell="D8" sqref="D8"/>
    </sheetView>
  </sheetViews>
  <sheetFormatPr defaultRowHeight="14.6" x14ac:dyDescent="0.4"/>
  <cols>
    <col min="2" max="2" width="13.07421875" bestFit="1" customWidth="1"/>
    <col min="3" max="3" width="10.3828125" bestFit="1" customWidth="1"/>
    <col min="4" max="4" width="11.3046875" bestFit="1" customWidth="1"/>
    <col min="6" max="6" width="9.765625" bestFit="1" customWidth="1"/>
    <col min="7" max="7" width="11.07421875" bestFit="1" customWidth="1"/>
    <col min="9" max="9" width="8.765625" bestFit="1" customWidth="1"/>
    <col min="10" max="10" width="11.3046875" bestFit="1" customWidth="1"/>
    <col min="15" max="15" width="12.3046875" bestFit="1" customWidth="1"/>
    <col min="16" max="16" width="10.765625" bestFit="1" customWidth="1"/>
    <col min="17" max="17" width="9.765625" bestFit="1" customWidth="1"/>
  </cols>
  <sheetData>
    <row r="4" spans="1:17" ht="18.45" x14ac:dyDescent="0.5">
      <c r="A4" s="166"/>
      <c r="B4" s="166" t="s">
        <v>1154</v>
      </c>
      <c r="C4" s="166" t="s">
        <v>69</v>
      </c>
      <c r="D4" s="166" t="s">
        <v>70</v>
      </c>
      <c r="E4" s="166"/>
      <c r="F4" s="166"/>
      <c r="G4" s="166"/>
      <c r="H4" s="166"/>
      <c r="I4" s="166"/>
      <c r="J4" s="166"/>
      <c r="K4" s="166"/>
      <c r="L4" s="166"/>
      <c r="M4" s="166"/>
      <c r="N4" s="166"/>
      <c r="O4" s="166"/>
      <c r="P4" s="166"/>
      <c r="Q4" s="166"/>
    </row>
    <row r="5" spans="1:17" x14ac:dyDescent="0.4">
      <c r="B5" t="s">
        <v>1155</v>
      </c>
      <c r="C5" s="33">
        <v>-13.928660965552268</v>
      </c>
      <c r="D5" s="33">
        <v>-155.07860378295786</v>
      </c>
    </row>
    <row r="6" spans="1:17" x14ac:dyDescent="0.4">
      <c r="B6" t="s">
        <v>1156</v>
      </c>
      <c r="C6" s="33">
        <v>15</v>
      </c>
      <c r="D6" s="33">
        <v>-155.07860378295786</v>
      </c>
    </row>
    <row r="8" spans="1:17" x14ac:dyDescent="0.4">
      <c r="C8" t="s">
        <v>157</v>
      </c>
      <c r="D8" s="167">
        <f>ACOS(COS(RADIANS(90-C6)) *COS(RADIANS(90-C5)) +SIN(RADIANS(90-C6)) *SIN(RADIANS(90-C5)) *COS(RADIANS(D6-D5))) *3959</f>
        <v>1998.9006125044712</v>
      </c>
    </row>
    <row r="9" spans="1:17" x14ac:dyDescent="0.4">
      <c r="D9">
        <f>ACOS(COS(RADIANS(90 - C6)) * COS(RADIANS(90 - C5)) + SIN(RADIANS(90 - C6)) * SIN(RADIANS(90 - C5)) * COS(RADIANS(D6 - D5))) * 3959</f>
        <v>1998.9006125044712</v>
      </c>
    </row>
    <row r="16" spans="1:17" x14ac:dyDescent="0.4">
      <c r="G16" t="s">
        <v>1157</v>
      </c>
    </row>
    <row r="17" spans="2:14" x14ac:dyDescent="0.4">
      <c r="G17" t="s">
        <v>1158</v>
      </c>
    </row>
    <row r="18" spans="2:14" ht="18.45" x14ac:dyDescent="0.5">
      <c r="G18" s="166" t="s">
        <v>1159</v>
      </c>
    </row>
    <row r="25" spans="2:14" ht="15" thickBot="1" x14ac:dyDescent="0.45">
      <c r="B25" s="1" t="s">
        <v>50</v>
      </c>
      <c r="C25" s="141">
        <f>2*3959*ASIN(SQRT((SIN(RADIANS((C23-C22)/2)))^2+COS(RADIANS(C22))*COS(RADIANS(C23))*(SIN(RADIANS((D23-D22)/2)))^2))</f>
        <v>0</v>
      </c>
      <c r="D25">
        <f>ACOS(COS(RADIANS(90-C23)) *COS(RADIANS(90-C22)) +SIN(RADIANS(90-C23)) *SIN(RADIANS(90-C22)) *COS(RADIANS(D23-D22))) *3959</f>
        <v>0</v>
      </c>
    </row>
    <row r="27" spans="2:14" ht="15" thickBot="1" x14ac:dyDescent="0.45">
      <c r="B27" s="1" t="s">
        <v>47</v>
      </c>
      <c r="C27" s="31">
        <v>28.698409999999999</v>
      </c>
    </row>
    <row r="28" spans="2:14" ht="15" thickBot="1" x14ac:dyDescent="0.45">
      <c r="B28" s="1" t="s">
        <v>48</v>
      </c>
      <c r="C28" s="32">
        <v>500</v>
      </c>
    </row>
    <row r="30" spans="2:14" ht="15" thickBot="1" x14ac:dyDescent="0.45">
      <c r="B30" s="1" t="s">
        <v>49</v>
      </c>
      <c r="C30" s="1" t="s">
        <v>50</v>
      </c>
      <c r="D30" s="33">
        <v>-13.928660965552268</v>
      </c>
      <c r="F30" s="1" t="s">
        <v>51</v>
      </c>
      <c r="G30" s="34">
        <f>(90 - D30) * $C$27</f>
        <v>2982.5873231404148</v>
      </c>
      <c r="I30" s="1" t="s">
        <v>52</v>
      </c>
      <c r="J30" s="35">
        <f>-SIN(RADIANS(D31)) * G30</f>
        <v>1256.7862583125866</v>
      </c>
      <c r="L30" s="1" t="s">
        <v>0</v>
      </c>
      <c r="M30" s="36">
        <f>SQRT((J33-J30)^2 + (J34 - J31)^2)</f>
        <v>307.65984762026949</v>
      </c>
      <c r="N30" s="3" t="s">
        <v>53</v>
      </c>
    </row>
    <row r="31" spans="2:14" ht="15" thickBot="1" x14ac:dyDescent="0.45">
      <c r="C31" s="1" t="s">
        <v>54</v>
      </c>
      <c r="D31" s="33">
        <v>-155.07860378295786</v>
      </c>
      <c r="I31" s="1" t="s">
        <v>55</v>
      </c>
      <c r="J31" s="35">
        <f>COS(RADIANS(D31)) * G30</f>
        <v>-2704.8688399023258</v>
      </c>
    </row>
    <row r="33" spans="2:16" ht="15" thickBot="1" x14ac:dyDescent="0.45">
      <c r="B33" s="1" t="s">
        <v>56</v>
      </c>
      <c r="C33" s="1" t="s">
        <v>50</v>
      </c>
      <c r="D33" s="37">
        <v>-17.559864999999999</v>
      </c>
      <c r="F33" s="1" t="s">
        <v>51</v>
      </c>
      <c r="G33" s="34">
        <f>(90 - D33) * $C$27</f>
        <v>3086.7971053146498</v>
      </c>
      <c r="I33" s="1" t="s">
        <v>52</v>
      </c>
      <c r="J33" s="38">
        <f>-SIN(RADIANS(D34)) * G33</f>
        <v>1561.5408258519913</v>
      </c>
    </row>
    <row r="34" spans="2:16" ht="15" thickBot="1" x14ac:dyDescent="0.45">
      <c r="C34" s="1" t="s">
        <v>54</v>
      </c>
      <c r="D34" s="37">
        <v>-149.610388</v>
      </c>
      <c r="I34" s="1" t="s">
        <v>55</v>
      </c>
      <c r="J34" s="35">
        <f>COS(RADIANS(D34)) * G33</f>
        <v>-2662.687856016244</v>
      </c>
    </row>
    <row r="38" spans="2:16" ht="20.149999999999999" thickBot="1" x14ac:dyDescent="0.6">
      <c r="B38" s="39" t="s">
        <v>57</v>
      </c>
    </row>
    <row r="39" spans="2:16" ht="15" thickTop="1" x14ac:dyDescent="0.4"/>
    <row r="41" spans="2:16" ht="15" thickBot="1" x14ac:dyDescent="0.45">
      <c r="B41" s="1" t="s">
        <v>58</v>
      </c>
      <c r="C41" s="1" t="s">
        <v>59</v>
      </c>
      <c r="D41" s="35">
        <f>(J31 / J30)</f>
        <v>-2.1522107056883284</v>
      </c>
      <c r="F41" s="1" t="s">
        <v>60</v>
      </c>
      <c r="G41" s="35">
        <f>J30 + (C28 * COS(ATAN(D43)))</f>
        <v>1752.0646800771799</v>
      </c>
      <c r="I41" s="1" t="s">
        <v>61</v>
      </c>
      <c r="J41" s="35">
        <f>90 - SQRT(G41^2 + G42^2) / C27</f>
        <v>-20.299583347456476</v>
      </c>
      <c r="O41" s="40"/>
      <c r="P41" s="40"/>
    </row>
    <row r="42" spans="2:16" ht="15" thickBot="1" x14ac:dyDescent="0.45">
      <c r="B42" s="1" t="s">
        <v>58</v>
      </c>
      <c r="C42" s="1" t="s">
        <v>62</v>
      </c>
      <c r="D42" s="41">
        <f>DEGREES(ATAN(D41))</f>
        <v>-65.078603782957856</v>
      </c>
      <c r="F42" s="1" t="s">
        <v>63</v>
      </c>
      <c r="G42" s="35">
        <f>J31 + (C28 * SIN(ATAN(D43)))</f>
        <v>-2636.3175092487663</v>
      </c>
      <c r="I42" s="1" t="s">
        <v>64</v>
      </c>
      <c r="J42" s="35">
        <f>180 - DEGREES(ATAN(G41 / G42))</f>
        <v>213.60753083489453</v>
      </c>
      <c r="O42" s="40"/>
      <c r="P42" s="40"/>
    </row>
    <row r="43" spans="2:16" ht="15" thickBot="1" x14ac:dyDescent="0.45">
      <c r="B43" s="1" t="s">
        <v>65</v>
      </c>
      <c r="C43" s="1" t="s">
        <v>59</v>
      </c>
      <c r="D43" s="35">
        <f>(J34-J31) / (J33-J30)</f>
        <v>0.13840968562555767</v>
      </c>
      <c r="O43" s="40"/>
      <c r="P43" s="40"/>
    </row>
    <row r="44" spans="2:16" ht="15" thickBot="1" x14ac:dyDescent="0.45">
      <c r="B44" s="42" t="s">
        <v>65</v>
      </c>
      <c r="C44" s="42" t="s">
        <v>62</v>
      </c>
      <c r="D44" s="41">
        <f>DEGREES(ATAN(D43))</f>
        <v>7.8802242339399244</v>
      </c>
      <c r="O44" s="40"/>
      <c r="P44" s="40"/>
    </row>
    <row r="45" spans="2:16" x14ac:dyDescent="0.4">
      <c r="O45" s="40"/>
      <c r="P45" s="40"/>
    </row>
    <row r="46" spans="2:16" ht="15" thickBot="1" x14ac:dyDescent="0.45">
      <c r="B46" s="1" t="s">
        <v>66</v>
      </c>
      <c r="C46" s="1" t="s">
        <v>67</v>
      </c>
      <c r="D46" s="43">
        <f>D42 - D44</f>
        <v>-72.958828016897783</v>
      </c>
      <c r="O46" s="40"/>
      <c r="P46" s="40"/>
    </row>
    <row r="47" spans="2:16" x14ac:dyDescent="0.4">
      <c r="O47" s="40"/>
      <c r="P47" s="40"/>
    </row>
    <row r="48" spans="2:16" x14ac:dyDescent="0.4">
      <c r="J48" s="40"/>
      <c r="O48" s="40"/>
      <c r="P48" s="40"/>
    </row>
    <row r="49" spans="15:16" x14ac:dyDescent="0.4">
      <c r="O49" s="40"/>
      <c r="P49" s="40"/>
    </row>
    <row r="50" spans="15:16" x14ac:dyDescent="0.4">
      <c r="O50" s="40"/>
      <c r="P50" s="40"/>
    </row>
    <row r="51" spans="15:16" x14ac:dyDescent="0.4">
      <c r="O51" s="40"/>
      <c r="P51" s="40"/>
    </row>
    <row r="52" spans="15:16" x14ac:dyDescent="0.4">
      <c r="O52" s="40"/>
      <c r="P52" s="40"/>
    </row>
    <row r="53" spans="15:16" x14ac:dyDescent="0.4">
      <c r="O53" s="40"/>
      <c r="P53" s="40"/>
    </row>
    <row r="54" spans="15:16" x14ac:dyDescent="0.4">
      <c r="O54" s="40"/>
      <c r="P54" s="40"/>
    </row>
    <row r="55" spans="15:16" x14ac:dyDescent="0.4">
      <c r="O55" s="40"/>
      <c r="P55" s="40"/>
    </row>
    <row r="56" spans="15:16" x14ac:dyDescent="0.4">
      <c r="O56" s="40"/>
      <c r="P56" s="40"/>
    </row>
  </sheetData>
  <pageMargins left="0.7" right="0.7" top="0.75" bottom="0.75" header="0.3" footer="0.3"/>
  <pageSetup orientation="portrait" r:id="rId1"/>
  <drawing r:id="rId2"/>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82E50-5FB6-46BF-ACD5-6831857DBD6A}">
  <dimension ref="A1:G107"/>
  <sheetViews>
    <sheetView topLeftCell="A19" workbookViewId="0">
      <selection activeCell="F9" sqref="F9"/>
    </sheetView>
  </sheetViews>
  <sheetFormatPr defaultRowHeight="14.6" x14ac:dyDescent="0.4"/>
  <cols>
    <col min="2" max="2" width="28.07421875" bestFit="1" customWidth="1"/>
    <col min="3" max="3" width="41.921875" bestFit="1" customWidth="1"/>
    <col min="4" max="4" width="4.921875" bestFit="1" customWidth="1"/>
    <col min="5" max="5" width="5.69140625" bestFit="1" customWidth="1"/>
    <col min="6" max="6" width="29.921875" customWidth="1"/>
    <col min="7" max="7" width="174" bestFit="1" customWidth="1"/>
  </cols>
  <sheetData>
    <row r="1" spans="1:7" x14ac:dyDescent="0.4">
      <c r="A1" t="s">
        <v>207</v>
      </c>
      <c r="B1" t="s">
        <v>68</v>
      </c>
      <c r="C1" t="s">
        <v>208</v>
      </c>
      <c r="D1" t="s">
        <v>209</v>
      </c>
      <c r="E1" t="s">
        <v>210</v>
      </c>
      <c r="F1" t="s">
        <v>211</v>
      </c>
      <c r="G1" t="s">
        <v>212</v>
      </c>
    </row>
    <row r="2" spans="1:7" x14ac:dyDescent="0.4">
      <c r="A2">
        <v>500</v>
      </c>
      <c r="B2" t="s">
        <v>213</v>
      </c>
      <c r="C2" t="s">
        <v>214</v>
      </c>
      <c r="D2">
        <v>1984</v>
      </c>
      <c r="E2" t="s">
        <v>215</v>
      </c>
      <c r="F2" t="s">
        <v>216</v>
      </c>
      <c r="G2" t="s">
        <v>217</v>
      </c>
    </row>
    <row r="3" spans="1:7" x14ac:dyDescent="0.4">
      <c r="A3" t="s">
        <v>218</v>
      </c>
      <c r="B3" t="s">
        <v>219</v>
      </c>
      <c r="C3" t="s">
        <v>220</v>
      </c>
      <c r="E3" t="s">
        <v>215</v>
      </c>
      <c r="F3" t="s">
        <v>413</v>
      </c>
      <c r="G3" t="s">
        <v>222</v>
      </c>
    </row>
    <row r="4" spans="1:7" x14ac:dyDescent="0.4">
      <c r="A4" s="159">
        <v>1480</v>
      </c>
      <c r="B4" t="s">
        <v>223</v>
      </c>
      <c r="C4" t="s">
        <v>224</v>
      </c>
      <c r="G4" t="s">
        <v>225</v>
      </c>
    </row>
    <row r="5" spans="1:7" x14ac:dyDescent="0.4">
      <c r="A5" s="160">
        <v>1486.6</v>
      </c>
      <c r="B5" t="s">
        <v>226</v>
      </c>
      <c r="C5" t="s">
        <v>227</v>
      </c>
    </row>
    <row r="6" spans="1:7" x14ac:dyDescent="0.4">
      <c r="A6" s="159">
        <v>1524</v>
      </c>
      <c r="B6" t="s">
        <v>228</v>
      </c>
      <c r="C6" t="s">
        <v>229</v>
      </c>
    </row>
    <row r="7" spans="1:7" x14ac:dyDescent="0.4">
      <c r="A7" s="160">
        <v>1609.3425999999999</v>
      </c>
      <c r="B7" t="s">
        <v>230</v>
      </c>
      <c r="C7" t="s">
        <v>231</v>
      </c>
      <c r="D7">
        <v>1592</v>
      </c>
      <c r="E7">
        <v>1959</v>
      </c>
      <c r="F7" t="s">
        <v>232</v>
      </c>
      <c r="G7" t="s">
        <v>233</v>
      </c>
    </row>
    <row r="8" spans="1:7" x14ac:dyDescent="0.4">
      <c r="A8" s="160">
        <v>1609.3440000000001</v>
      </c>
      <c r="B8" t="s">
        <v>234</v>
      </c>
      <c r="C8" t="s">
        <v>235</v>
      </c>
      <c r="D8">
        <v>1959</v>
      </c>
      <c r="E8" t="s">
        <v>215</v>
      </c>
      <c r="F8" t="s">
        <v>236</v>
      </c>
      <c r="G8" t="s">
        <v>237</v>
      </c>
    </row>
    <row r="9" spans="1:7" x14ac:dyDescent="0.4">
      <c r="A9" s="160">
        <v>1609.3471999999999</v>
      </c>
      <c r="B9" t="s">
        <v>230</v>
      </c>
      <c r="C9" t="s">
        <v>238</v>
      </c>
      <c r="D9">
        <v>1893</v>
      </c>
      <c r="E9">
        <v>2022</v>
      </c>
      <c r="F9" t="s">
        <v>232</v>
      </c>
      <c r="G9" t="s">
        <v>239</v>
      </c>
    </row>
    <row r="10" spans="1:7" x14ac:dyDescent="0.4">
      <c r="A10" s="159">
        <v>1807</v>
      </c>
      <c r="B10" t="s">
        <v>240</v>
      </c>
      <c r="C10" t="s">
        <v>241</v>
      </c>
      <c r="E10">
        <v>1685</v>
      </c>
      <c r="F10" t="s">
        <v>242</v>
      </c>
    </row>
    <row r="11" spans="1:7" x14ac:dyDescent="0.4">
      <c r="A11" s="159">
        <v>1820</v>
      </c>
      <c r="C11" t="s">
        <v>243</v>
      </c>
    </row>
    <row r="12" spans="1:7" x14ac:dyDescent="0.4">
      <c r="A12" s="159">
        <v>1852</v>
      </c>
      <c r="B12" t="s">
        <v>244</v>
      </c>
      <c r="C12" t="s">
        <v>245</v>
      </c>
      <c r="E12" t="s">
        <v>215</v>
      </c>
      <c r="F12" t="s">
        <v>414</v>
      </c>
      <c r="G12" t="s">
        <v>247</v>
      </c>
    </row>
    <row r="13" spans="1:7" x14ac:dyDescent="0.4">
      <c r="A13" s="160">
        <v>1852.3</v>
      </c>
      <c r="B13" t="s">
        <v>248</v>
      </c>
      <c r="F13" t="s">
        <v>249</v>
      </c>
    </row>
    <row r="14" spans="1:7" x14ac:dyDescent="0.4">
      <c r="A14" s="160">
        <v>1853.181</v>
      </c>
      <c r="B14" t="s">
        <v>244</v>
      </c>
      <c r="C14" t="s">
        <v>250</v>
      </c>
    </row>
    <row r="15" spans="1:7" x14ac:dyDescent="0.4">
      <c r="A15" s="160">
        <v>1855.4</v>
      </c>
      <c r="B15" t="s">
        <v>248</v>
      </c>
      <c r="F15" t="s">
        <v>251</v>
      </c>
      <c r="G15" t="s">
        <v>252</v>
      </c>
    </row>
    <row r="16" spans="1:7" x14ac:dyDescent="0.4">
      <c r="A16" s="159">
        <v>2065</v>
      </c>
      <c r="C16" t="s">
        <v>253</v>
      </c>
    </row>
    <row r="17" spans="1:7" x14ac:dyDescent="0.4">
      <c r="A17" s="159">
        <v>2220</v>
      </c>
      <c r="B17" t="s">
        <v>254</v>
      </c>
      <c r="C17" t="s">
        <v>255</v>
      </c>
      <c r="F17" t="s">
        <v>256</v>
      </c>
      <c r="G17" t="s">
        <v>415</v>
      </c>
    </row>
    <row r="18" spans="1:7" x14ac:dyDescent="0.4">
      <c r="A18" s="159">
        <v>2470</v>
      </c>
      <c r="C18" t="s">
        <v>258</v>
      </c>
    </row>
    <row r="19" spans="1:7" x14ac:dyDescent="0.4">
      <c r="A19" s="159">
        <v>2622</v>
      </c>
      <c r="C19" t="s">
        <v>241</v>
      </c>
    </row>
    <row r="20" spans="1:7" x14ac:dyDescent="0.4">
      <c r="A20" s="159">
        <v>2880</v>
      </c>
      <c r="C20" t="s">
        <v>259</v>
      </c>
    </row>
    <row r="21" spans="1:7" x14ac:dyDescent="0.4">
      <c r="A21" s="159">
        <v>3780</v>
      </c>
      <c r="C21" t="s">
        <v>260</v>
      </c>
    </row>
    <row r="22" spans="1:7" x14ac:dyDescent="0.4">
      <c r="A22" s="159">
        <v>3898</v>
      </c>
      <c r="B22" t="s">
        <v>261</v>
      </c>
      <c r="C22" t="s">
        <v>262</v>
      </c>
      <c r="F22" t="s">
        <v>263</v>
      </c>
    </row>
    <row r="23" spans="1:7" x14ac:dyDescent="0.4">
      <c r="A23" s="159">
        <v>3927</v>
      </c>
      <c r="B23" t="s">
        <v>264</v>
      </c>
      <c r="C23" t="s">
        <v>265</v>
      </c>
      <c r="F23" t="s">
        <v>266</v>
      </c>
    </row>
    <row r="24" spans="1:7" x14ac:dyDescent="0.4">
      <c r="A24" s="159">
        <v>4000</v>
      </c>
      <c r="B24" t="s">
        <v>416</v>
      </c>
    </row>
    <row r="25" spans="1:7" x14ac:dyDescent="0.4">
      <c r="A25" s="159">
        <v>4000</v>
      </c>
      <c r="B25" t="s">
        <v>268</v>
      </c>
      <c r="C25" t="s">
        <v>269</v>
      </c>
    </row>
    <row r="26" spans="1:7" x14ac:dyDescent="0.4">
      <c r="A26" s="159">
        <v>4190</v>
      </c>
      <c r="B26" t="s">
        <v>268</v>
      </c>
      <c r="C26" t="s">
        <v>270</v>
      </c>
      <c r="F26" t="s">
        <v>271</v>
      </c>
    </row>
    <row r="27" spans="1:7" x14ac:dyDescent="0.4">
      <c r="A27" t="s">
        <v>272</v>
      </c>
      <c r="B27" t="s">
        <v>273</v>
      </c>
      <c r="F27" t="s">
        <v>417</v>
      </c>
    </row>
    <row r="28" spans="1:7" x14ac:dyDescent="0.4">
      <c r="A28" s="160">
        <v>4452.2</v>
      </c>
      <c r="B28" t="s">
        <v>275</v>
      </c>
      <c r="C28" t="s">
        <v>262</v>
      </c>
      <c r="G28" t="s">
        <v>276</v>
      </c>
    </row>
    <row r="29" spans="1:7" x14ac:dyDescent="0.4">
      <c r="A29" s="159">
        <v>4513</v>
      </c>
      <c r="B29" t="s">
        <v>268</v>
      </c>
      <c r="C29" t="s">
        <v>277</v>
      </c>
    </row>
    <row r="30" spans="1:7" x14ac:dyDescent="0.4">
      <c r="A30" s="159">
        <v>4513</v>
      </c>
      <c r="B30" t="s">
        <v>278</v>
      </c>
      <c r="C30" t="s">
        <v>279</v>
      </c>
      <c r="F30" t="s">
        <v>280</v>
      </c>
    </row>
    <row r="31" spans="1:7" x14ac:dyDescent="0.4">
      <c r="A31" t="s">
        <v>281</v>
      </c>
      <c r="C31" t="s">
        <v>282</v>
      </c>
    </row>
    <row r="32" spans="1:7" x14ac:dyDescent="0.4">
      <c r="A32" s="159">
        <v>4828</v>
      </c>
      <c r="B32" t="s">
        <v>418</v>
      </c>
      <c r="C32" t="s">
        <v>229</v>
      </c>
      <c r="F32" t="s">
        <v>284</v>
      </c>
    </row>
    <row r="33" spans="1:7" x14ac:dyDescent="0.4">
      <c r="A33" s="159">
        <v>4800</v>
      </c>
      <c r="B33" t="s">
        <v>419</v>
      </c>
    </row>
    <row r="34" spans="1:7" x14ac:dyDescent="0.4">
      <c r="A34" s="159">
        <v>4900</v>
      </c>
      <c r="B34" t="s">
        <v>286</v>
      </c>
    </row>
    <row r="35" spans="1:7" x14ac:dyDescent="0.4">
      <c r="A35" s="159">
        <v>5000</v>
      </c>
      <c r="B35" t="s">
        <v>287</v>
      </c>
      <c r="C35" t="s">
        <v>288</v>
      </c>
    </row>
    <row r="36" spans="1:7" x14ac:dyDescent="0.4">
      <c r="A36" s="159">
        <v>5196</v>
      </c>
      <c r="B36" t="s">
        <v>278</v>
      </c>
      <c r="C36" t="s">
        <v>289</v>
      </c>
      <c r="F36" t="s">
        <v>290</v>
      </c>
    </row>
    <row r="37" spans="1:7" x14ac:dyDescent="0.4">
      <c r="A37" t="s">
        <v>291</v>
      </c>
      <c r="B37" t="s">
        <v>292</v>
      </c>
      <c r="C37" t="s">
        <v>293</v>
      </c>
      <c r="F37" t="s">
        <v>294</v>
      </c>
    </row>
    <row r="38" spans="1:7" x14ac:dyDescent="0.4">
      <c r="A38" t="s">
        <v>295</v>
      </c>
      <c r="B38" t="s">
        <v>268</v>
      </c>
      <c r="C38" t="s">
        <v>296</v>
      </c>
    </row>
    <row r="39" spans="1:7" x14ac:dyDescent="0.4">
      <c r="A39" s="159">
        <v>5200</v>
      </c>
      <c r="B39" t="s">
        <v>297</v>
      </c>
      <c r="C39" t="s">
        <v>298</v>
      </c>
    </row>
    <row r="40" spans="1:7" x14ac:dyDescent="0.4">
      <c r="A40" s="159">
        <v>5370</v>
      </c>
      <c r="B40" t="s">
        <v>268</v>
      </c>
      <c r="C40" t="s">
        <v>299</v>
      </c>
    </row>
    <row r="41" spans="1:7" x14ac:dyDescent="0.4">
      <c r="A41" s="159">
        <v>5500</v>
      </c>
      <c r="B41" t="s">
        <v>300</v>
      </c>
      <c r="C41" t="s">
        <v>253</v>
      </c>
    </row>
    <row r="42" spans="1:7" x14ac:dyDescent="0.4">
      <c r="A42" s="159">
        <v>5510</v>
      </c>
      <c r="B42" t="s">
        <v>268</v>
      </c>
      <c r="C42" t="s">
        <v>301</v>
      </c>
    </row>
    <row r="43" spans="1:7" x14ac:dyDescent="0.4">
      <c r="A43" s="159">
        <v>5510</v>
      </c>
      <c r="B43" t="s">
        <v>302</v>
      </c>
      <c r="C43" t="s">
        <v>301</v>
      </c>
    </row>
    <row r="44" spans="1:7" x14ac:dyDescent="0.4">
      <c r="A44" s="160">
        <v>5532.5</v>
      </c>
      <c r="B44" t="s">
        <v>303</v>
      </c>
      <c r="C44" t="s">
        <v>305</v>
      </c>
      <c r="G44" t="s">
        <v>306</v>
      </c>
    </row>
    <row r="45" spans="1:7" x14ac:dyDescent="0.4">
      <c r="B45" t="s">
        <v>304</v>
      </c>
    </row>
    <row r="46" spans="1:7" x14ac:dyDescent="0.4">
      <c r="A46" s="159">
        <v>5540</v>
      </c>
      <c r="B46" t="s">
        <v>268</v>
      </c>
      <c r="C46" t="s">
        <v>307</v>
      </c>
    </row>
    <row r="47" spans="1:7" x14ac:dyDescent="0.4">
      <c r="A47" s="159">
        <v>5556</v>
      </c>
      <c r="B47" t="s">
        <v>308</v>
      </c>
      <c r="F47" t="s">
        <v>420</v>
      </c>
    </row>
    <row r="48" spans="1:7" x14ac:dyDescent="0.4">
      <c r="F48" t="s">
        <v>310</v>
      </c>
    </row>
    <row r="49" spans="1:7" x14ac:dyDescent="0.4">
      <c r="A49" s="159">
        <v>5570</v>
      </c>
      <c r="B49" t="s">
        <v>278</v>
      </c>
      <c r="C49" t="s">
        <v>311</v>
      </c>
      <c r="G49" t="s">
        <v>312</v>
      </c>
    </row>
    <row r="50" spans="1:7" x14ac:dyDescent="0.4">
      <c r="A50" s="159">
        <v>5572</v>
      </c>
      <c r="B50" t="s">
        <v>278</v>
      </c>
      <c r="C50" t="s">
        <v>313</v>
      </c>
      <c r="F50" t="s">
        <v>314</v>
      </c>
    </row>
    <row r="51" spans="1:7" x14ac:dyDescent="0.4">
      <c r="A51" t="s">
        <v>315</v>
      </c>
      <c r="B51" t="s">
        <v>268</v>
      </c>
      <c r="C51" t="s">
        <v>316</v>
      </c>
      <c r="F51" t="s">
        <v>317</v>
      </c>
    </row>
    <row r="52" spans="1:7" x14ac:dyDescent="0.4">
      <c r="A52" t="s">
        <v>315</v>
      </c>
      <c r="B52" t="s">
        <v>318</v>
      </c>
      <c r="C52" t="s">
        <v>320</v>
      </c>
      <c r="F52" t="s">
        <v>321</v>
      </c>
    </row>
    <row r="53" spans="1:7" x14ac:dyDescent="0.4">
      <c r="B53" t="s">
        <v>319</v>
      </c>
    </row>
    <row r="54" spans="1:7" x14ac:dyDescent="0.4">
      <c r="A54" t="s">
        <v>322</v>
      </c>
      <c r="B54" t="s">
        <v>323</v>
      </c>
      <c r="C54" t="s">
        <v>324</v>
      </c>
      <c r="F54" t="s">
        <v>325</v>
      </c>
    </row>
    <row r="55" spans="1:7" x14ac:dyDescent="0.4">
      <c r="A55" t="s">
        <v>326</v>
      </c>
      <c r="B55" t="s">
        <v>327</v>
      </c>
      <c r="C55" t="s">
        <v>328</v>
      </c>
    </row>
    <row r="56" spans="1:7" x14ac:dyDescent="0.4">
      <c r="A56" s="159">
        <v>5685</v>
      </c>
      <c r="B56" t="s">
        <v>329</v>
      </c>
      <c r="C56" t="s">
        <v>330</v>
      </c>
      <c r="E56">
        <v>1933</v>
      </c>
      <c r="F56" t="s">
        <v>331</v>
      </c>
      <c r="G56" t="s">
        <v>332</v>
      </c>
    </row>
    <row r="57" spans="1:7" x14ac:dyDescent="0.4">
      <c r="A57" t="s">
        <v>333</v>
      </c>
      <c r="B57" t="s">
        <v>334</v>
      </c>
      <c r="C57" t="s">
        <v>335</v>
      </c>
    </row>
    <row r="58" spans="1:7" x14ac:dyDescent="0.4">
      <c r="A58" s="159">
        <v>6170</v>
      </c>
      <c r="B58" t="s">
        <v>336</v>
      </c>
      <c r="C58" t="s">
        <v>337</v>
      </c>
      <c r="E58" t="s">
        <v>338</v>
      </c>
      <c r="F58" t="s">
        <v>339</v>
      </c>
      <c r="G58" t="s">
        <v>340</v>
      </c>
    </row>
    <row r="59" spans="1:7" x14ac:dyDescent="0.4">
      <c r="A59" s="159">
        <v>6197</v>
      </c>
      <c r="B59" t="s">
        <v>341</v>
      </c>
      <c r="C59" t="s">
        <v>288</v>
      </c>
      <c r="F59" t="s">
        <v>342</v>
      </c>
    </row>
    <row r="60" spans="1:7" x14ac:dyDescent="0.4">
      <c r="A60" t="s">
        <v>343</v>
      </c>
      <c r="B60" t="s">
        <v>344</v>
      </c>
      <c r="C60" t="s">
        <v>345</v>
      </c>
    </row>
    <row r="61" spans="1:7" x14ac:dyDescent="0.4">
      <c r="A61" s="159">
        <v>6277</v>
      </c>
      <c r="C61" t="s">
        <v>346</v>
      </c>
    </row>
    <row r="62" spans="1:7" x14ac:dyDescent="0.4">
      <c r="A62" s="159">
        <v>6280</v>
      </c>
      <c r="C62" t="s">
        <v>347</v>
      </c>
    </row>
    <row r="63" spans="1:7" x14ac:dyDescent="0.4">
      <c r="A63" s="160">
        <v>6687.24</v>
      </c>
      <c r="B63" t="s">
        <v>348</v>
      </c>
      <c r="C63" t="s">
        <v>320</v>
      </c>
      <c r="F63" t="s">
        <v>350</v>
      </c>
    </row>
    <row r="64" spans="1:7" x14ac:dyDescent="0.4">
      <c r="B64" t="s">
        <v>349</v>
      </c>
    </row>
    <row r="65" spans="1:7" x14ac:dyDescent="0.4">
      <c r="A65" t="s">
        <v>351</v>
      </c>
      <c r="B65" t="s">
        <v>352</v>
      </c>
      <c r="C65" t="s">
        <v>353</v>
      </c>
      <c r="D65">
        <v>1630</v>
      </c>
      <c r="E65">
        <v>1872</v>
      </c>
      <c r="G65" t="s">
        <v>421</v>
      </c>
    </row>
    <row r="66" spans="1:7" x14ac:dyDescent="0.4">
      <c r="A66" s="159">
        <v>6797</v>
      </c>
      <c r="B66" t="s">
        <v>355</v>
      </c>
      <c r="C66" t="s">
        <v>357</v>
      </c>
      <c r="G66" t="s">
        <v>306</v>
      </c>
    </row>
    <row r="67" spans="1:7" x14ac:dyDescent="0.4">
      <c r="B67" t="s">
        <v>356</v>
      </c>
    </row>
    <row r="68" spans="1:7" x14ac:dyDescent="0.4">
      <c r="A68" s="159">
        <v>7400</v>
      </c>
      <c r="C68" t="s">
        <v>358</v>
      </c>
    </row>
    <row r="69" spans="1:7" x14ac:dyDescent="0.4">
      <c r="A69" s="159">
        <v>7409</v>
      </c>
      <c r="B69" t="s">
        <v>248</v>
      </c>
      <c r="F69" t="s">
        <v>359</v>
      </c>
    </row>
    <row r="70" spans="1:7" x14ac:dyDescent="0.4">
      <c r="A70" s="160">
        <v>7419.2</v>
      </c>
      <c r="C70" t="s">
        <v>360</v>
      </c>
      <c r="G70" t="s">
        <v>306</v>
      </c>
    </row>
    <row r="71" spans="1:7" x14ac:dyDescent="0.4">
      <c r="A71" s="160">
        <v>7419.4</v>
      </c>
      <c r="C71" t="s">
        <v>361</v>
      </c>
      <c r="G71" t="s">
        <v>306</v>
      </c>
    </row>
    <row r="72" spans="1:7" x14ac:dyDescent="0.4">
      <c r="A72" s="160">
        <v>7420.4</v>
      </c>
      <c r="C72" t="s">
        <v>362</v>
      </c>
      <c r="G72" t="s">
        <v>306</v>
      </c>
    </row>
    <row r="73" spans="1:7" x14ac:dyDescent="0.4">
      <c r="A73" s="160">
        <v>7414.9</v>
      </c>
    </row>
    <row r="74" spans="1:7" x14ac:dyDescent="0.4">
      <c r="A74" s="160">
        <v>7420.4390000000003</v>
      </c>
      <c r="B74" t="s">
        <v>363</v>
      </c>
      <c r="F74" t="s">
        <v>422</v>
      </c>
    </row>
    <row r="75" spans="1:7" x14ac:dyDescent="0.4">
      <c r="A75" s="160">
        <v>7421.6</v>
      </c>
      <c r="B75" t="s">
        <v>248</v>
      </c>
      <c r="F75" t="s">
        <v>365</v>
      </c>
    </row>
    <row r="76" spans="1:7" x14ac:dyDescent="0.4">
      <c r="A76" s="160">
        <v>7448.7</v>
      </c>
      <c r="C76" t="s">
        <v>366</v>
      </c>
      <c r="G76" t="s">
        <v>306</v>
      </c>
    </row>
    <row r="77" spans="1:7" x14ac:dyDescent="0.4">
      <c r="A77" s="159">
        <v>7450</v>
      </c>
      <c r="C77" t="s">
        <v>367</v>
      </c>
      <c r="G77" t="s">
        <v>306</v>
      </c>
    </row>
    <row r="78" spans="1:7" x14ac:dyDescent="0.4">
      <c r="A78" s="160">
        <v>7467.6</v>
      </c>
      <c r="C78" t="s">
        <v>368</v>
      </c>
      <c r="F78" t="s">
        <v>369</v>
      </c>
      <c r="G78" t="s">
        <v>370</v>
      </c>
    </row>
    <row r="79" spans="1:7" x14ac:dyDescent="0.4">
      <c r="A79" s="159">
        <v>7480</v>
      </c>
      <c r="C79" t="s">
        <v>371</v>
      </c>
    </row>
    <row r="80" spans="1:7" x14ac:dyDescent="0.4">
      <c r="A80" s="159">
        <v>7500</v>
      </c>
      <c r="B80" t="s">
        <v>372</v>
      </c>
      <c r="C80" t="s">
        <v>357</v>
      </c>
      <c r="E80">
        <v>1840</v>
      </c>
      <c r="G80" t="s">
        <v>423</v>
      </c>
    </row>
    <row r="81" spans="1:7" x14ac:dyDescent="0.4">
      <c r="B81" t="s">
        <v>373</v>
      </c>
    </row>
    <row r="82" spans="1:7" x14ac:dyDescent="0.4">
      <c r="A82" s="160">
        <v>7532.5</v>
      </c>
      <c r="B82" t="s">
        <v>375</v>
      </c>
      <c r="C82" t="s">
        <v>377</v>
      </c>
      <c r="G82" t="s">
        <v>424</v>
      </c>
    </row>
    <row r="83" spans="1:7" x14ac:dyDescent="0.4">
      <c r="B83" t="s">
        <v>376</v>
      </c>
    </row>
    <row r="84" spans="1:7" x14ac:dyDescent="0.4">
      <c r="A84" s="160">
        <v>7585.9</v>
      </c>
      <c r="B84" t="s">
        <v>379</v>
      </c>
      <c r="C84" t="s">
        <v>381</v>
      </c>
      <c r="G84" t="s">
        <v>382</v>
      </c>
    </row>
    <row r="85" spans="1:7" x14ac:dyDescent="0.4">
      <c r="B85" t="s">
        <v>380</v>
      </c>
    </row>
    <row r="86" spans="1:7" x14ac:dyDescent="0.4">
      <c r="A86" s="159">
        <v>7850</v>
      </c>
      <c r="B86" t="s">
        <v>383</v>
      </c>
      <c r="C86" t="s">
        <v>384</v>
      </c>
    </row>
    <row r="87" spans="1:7" x14ac:dyDescent="0.4">
      <c r="A87" s="160">
        <v>8534.31</v>
      </c>
      <c r="B87" t="s">
        <v>385</v>
      </c>
      <c r="C87" t="s">
        <v>386</v>
      </c>
      <c r="D87">
        <v>1819</v>
      </c>
      <c r="G87" t="s">
        <v>425</v>
      </c>
    </row>
    <row r="88" spans="1:7" x14ac:dyDescent="0.4">
      <c r="A88" s="159">
        <v>8800</v>
      </c>
      <c r="C88" t="s">
        <v>388</v>
      </c>
      <c r="G88" t="s">
        <v>306</v>
      </c>
    </row>
    <row r="89" spans="1:7" x14ac:dyDescent="0.4">
      <c r="A89" s="160">
        <v>8888.89</v>
      </c>
      <c r="C89" t="s">
        <v>389</v>
      </c>
      <c r="G89" t="s">
        <v>306</v>
      </c>
    </row>
    <row r="90" spans="1:7" x14ac:dyDescent="0.4">
      <c r="A90" s="159">
        <v>9062</v>
      </c>
      <c r="B90" t="s">
        <v>390</v>
      </c>
      <c r="C90" t="s">
        <v>357</v>
      </c>
      <c r="E90">
        <v>1722</v>
      </c>
      <c r="G90" t="s">
        <v>306</v>
      </c>
    </row>
    <row r="91" spans="1:7" x14ac:dyDescent="0.4">
      <c r="B91" t="s">
        <v>391</v>
      </c>
    </row>
    <row r="92" spans="1:7" x14ac:dyDescent="0.4">
      <c r="A92" s="160">
        <v>9206.2999999999993</v>
      </c>
      <c r="C92" t="s">
        <v>392</v>
      </c>
      <c r="G92" t="s">
        <v>306</v>
      </c>
    </row>
    <row r="93" spans="1:7" x14ac:dyDescent="0.4">
      <c r="A93" s="160">
        <v>9261.4</v>
      </c>
      <c r="B93" t="s">
        <v>248</v>
      </c>
      <c r="F93" t="s">
        <v>393</v>
      </c>
    </row>
    <row r="94" spans="1:7" x14ac:dyDescent="0.4">
      <c r="A94" s="159">
        <v>9277</v>
      </c>
      <c r="B94" t="s">
        <v>248</v>
      </c>
      <c r="F94" t="s">
        <v>394</v>
      </c>
    </row>
    <row r="95" spans="1:7" x14ac:dyDescent="0.4">
      <c r="A95" s="159">
        <v>9323</v>
      </c>
      <c r="B95" t="s">
        <v>395</v>
      </c>
      <c r="C95" t="s">
        <v>397</v>
      </c>
      <c r="E95">
        <v>1836</v>
      </c>
      <c r="G95" t="s">
        <v>306</v>
      </c>
    </row>
    <row r="96" spans="1:7" x14ac:dyDescent="0.4">
      <c r="B96" t="s">
        <v>396</v>
      </c>
    </row>
    <row r="97" spans="1:7" x14ac:dyDescent="0.4">
      <c r="A97" s="159">
        <v>9347</v>
      </c>
      <c r="B97" t="s">
        <v>395</v>
      </c>
      <c r="C97" t="s">
        <v>397</v>
      </c>
      <c r="E97">
        <v>1836</v>
      </c>
      <c r="G97" t="s">
        <v>306</v>
      </c>
    </row>
    <row r="98" spans="1:7" x14ac:dyDescent="0.4">
      <c r="B98" t="s">
        <v>396</v>
      </c>
    </row>
    <row r="99" spans="1:7" x14ac:dyDescent="0.4">
      <c r="A99" s="160">
        <v>9869.6</v>
      </c>
      <c r="C99" t="s">
        <v>398</v>
      </c>
    </row>
    <row r="100" spans="1:7" x14ac:dyDescent="0.4">
      <c r="A100" s="159">
        <v>10000</v>
      </c>
      <c r="B100" t="s">
        <v>399</v>
      </c>
      <c r="C100" t="s">
        <v>400</v>
      </c>
      <c r="E100" t="s">
        <v>215</v>
      </c>
      <c r="G100" t="s">
        <v>426</v>
      </c>
    </row>
    <row r="101" spans="1:7" x14ac:dyDescent="0.4">
      <c r="A101" s="159">
        <v>10044</v>
      </c>
      <c r="B101" t="s">
        <v>402</v>
      </c>
      <c r="C101" t="s">
        <v>404</v>
      </c>
      <c r="G101" t="s">
        <v>306</v>
      </c>
    </row>
    <row r="102" spans="1:7" x14ac:dyDescent="0.4">
      <c r="B102" t="s">
        <v>403</v>
      </c>
    </row>
    <row r="103" spans="1:7" x14ac:dyDescent="0.4">
      <c r="A103" s="159">
        <v>10670</v>
      </c>
      <c r="C103" t="s">
        <v>405</v>
      </c>
    </row>
    <row r="104" spans="1:7" x14ac:dyDescent="0.4">
      <c r="A104" s="160">
        <v>10688.54</v>
      </c>
      <c r="B104" t="s">
        <v>406</v>
      </c>
      <c r="C104" t="s">
        <v>407</v>
      </c>
      <c r="E104">
        <v>1889</v>
      </c>
      <c r="G104" t="s">
        <v>408</v>
      </c>
    </row>
    <row r="105" spans="1:7" x14ac:dyDescent="0.4">
      <c r="A105" s="160">
        <v>11113.7</v>
      </c>
      <c r="B105" t="s">
        <v>248</v>
      </c>
      <c r="F105" t="s">
        <v>409</v>
      </c>
    </row>
    <row r="106" spans="1:7" x14ac:dyDescent="0.4">
      <c r="A106" s="160">
        <v>11132.4</v>
      </c>
      <c r="B106" t="s">
        <v>248</v>
      </c>
      <c r="F106" t="s">
        <v>410</v>
      </c>
    </row>
    <row r="107" spans="1:7" x14ac:dyDescent="0.4">
      <c r="A107" s="159">
        <v>11299</v>
      </c>
      <c r="B107" t="s">
        <v>406</v>
      </c>
      <c r="C107" t="s">
        <v>411</v>
      </c>
      <c r="G107" t="s">
        <v>412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D6F853-F2F5-4F05-9D12-7B410B1E5E76}">
  <dimension ref="A1:H121"/>
  <sheetViews>
    <sheetView workbookViewId="0">
      <selection sqref="A1:H121"/>
    </sheetView>
  </sheetViews>
  <sheetFormatPr defaultRowHeight="14.6" x14ac:dyDescent="0.4"/>
  <sheetData>
    <row r="1" spans="1:8" ht="42.45" customHeight="1" x14ac:dyDescent="0.4">
      <c r="A1" s="175"/>
      <c r="B1" s="175"/>
      <c r="C1" s="176" t="s">
        <v>427</v>
      </c>
      <c r="D1" s="176"/>
      <c r="E1" s="176" t="s">
        <v>548</v>
      </c>
      <c r="F1" s="176"/>
      <c r="G1" s="176" t="s">
        <v>548</v>
      </c>
      <c r="H1" s="176"/>
    </row>
    <row r="2" spans="1:8" ht="28.3" x14ac:dyDescent="0.4">
      <c r="A2" s="175"/>
      <c r="B2" s="175"/>
      <c r="C2" s="161" t="s">
        <v>428</v>
      </c>
      <c r="D2" s="161" t="s">
        <v>429</v>
      </c>
      <c r="E2" s="161" t="s">
        <v>549</v>
      </c>
      <c r="F2" s="161" t="s">
        <v>550</v>
      </c>
      <c r="G2" s="161" t="s">
        <v>669</v>
      </c>
      <c r="H2" s="161" t="s">
        <v>670</v>
      </c>
    </row>
    <row r="3" spans="1:8" x14ac:dyDescent="0.4">
      <c r="A3" s="175"/>
      <c r="B3" s="175"/>
      <c r="C3" s="162"/>
      <c r="D3" s="163"/>
      <c r="E3" s="162"/>
      <c r="F3" s="163"/>
      <c r="G3" s="162"/>
      <c r="H3" s="163"/>
    </row>
    <row r="4" spans="1:8" ht="28.3" x14ac:dyDescent="0.4">
      <c r="A4" s="175"/>
      <c r="B4" s="175"/>
      <c r="C4" s="161" t="s">
        <v>430</v>
      </c>
      <c r="D4" s="161" t="s">
        <v>431</v>
      </c>
      <c r="E4" s="161" t="s">
        <v>551</v>
      </c>
      <c r="F4" s="161" t="s">
        <v>552</v>
      </c>
      <c r="G4" s="161" t="s">
        <v>671</v>
      </c>
      <c r="H4" s="161" t="s">
        <v>672</v>
      </c>
    </row>
    <row r="5" spans="1:8" x14ac:dyDescent="0.4">
      <c r="A5" s="175"/>
      <c r="B5" s="175"/>
      <c r="C5" s="162"/>
      <c r="D5" s="163"/>
      <c r="E5" s="162"/>
      <c r="F5" s="163"/>
      <c r="G5" s="162"/>
      <c r="H5" s="163"/>
    </row>
    <row r="6" spans="1:8" ht="28.3" x14ac:dyDescent="0.4">
      <c r="A6" s="175"/>
      <c r="B6" s="175"/>
      <c r="C6" s="161" t="s">
        <v>432</v>
      </c>
      <c r="D6" s="161" t="s">
        <v>433</v>
      </c>
      <c r="E6" s="161" t="s">
        <v>553</v>
      </c>
      <c r="F6" s="161" t="s">
        <v>554</v>
      </c>
      <c r="G6" s="161" t="s">
        <v>673</v>
      </c>
      <c r="H6" s="161" t="s">
        <v>674</v>
      </c>
    </row>
    <row r="7" spans="1:8" x14ac:dyDescent="0.4">
      <c r="A7" s="175"/>
      <c r="B7" s="175"/>
      <c r="C7" s="162"/>
      <c r="D7" s="163"/>
      <c r="E7" s="162"/>
      <c r="F7" s="163"/>
      <c r="G7" s="162"/>
      <c r="H7" s="163"/>
    </row>
    <row r="8" spans="1:8" ht="28.3" x14ac:dyDescent="0.4">
      <c r="A8" s="175"/>
      <c r="B8" s="175"/>
      <c r="C8" s="161" t="s">
        <v>434</v>
      </c>
      <c r="D8" s="161" t="s">
        <v>435</v>
      </c>
      <c r="E8" s="161" t="s">
        <v>555</v>
      </c>
      <c r="F8" s="161" t="s">
        <v>556</v>
      </c>
      <c r="G8" s="161" t="s">
        <v>675</v>
      </c>
      <c r="H8" s="161" t="s">
        <v>676</v>
      </c>
    </row>
    <row r="9" spans="1:8" x14ac:dyDescent="0.4">
      <c r="A9" s="175"/>
      <c r="B9" s="175"/>
      <c r="C9" s="162"/>
      <c r="D9" s="163"/>
      <c r="E9" s="162"/>
      <c r="F9" s="163"/>
      <c r="G9" s="162"/>
      <c r="H9" s="163"/>
    </row>
    <row r="10" spans="1:8" ht="28.3" x14ac:dyDescent="0.4">
      <c r="A10" s="175"/>
      <c r="B10" s="175"/>
      <c r="C10" s="161" t="s">
        <v>436</v>
      </c>
      <c r="D10" s="161" t="s">
        <v>437</v>
      </c>
      <c r="E10" s="161" t="s">
        <v>557</v>
      </c>
      <c r="F10" s="161" t="s">
        <v>558</v>
      </c>
      <c r="G10" s="161" t="s">
        <v>677</v>
      </c>
      <c r="H10" s="161" t="s">
        <v>678</v>
      </c>
    </row>
    <row r="11" spans="1:8" x14ac:dyDescent="0.4">
      <c r="A11" s="175"/>
      <c r="B11" s="175"/>
      <c r="C11" s="162"/>
      <c r="D11" s="163"/>
      <c r="E11" s="162"/>
      <c r="F11" s="163"/>
      <c r="G11" s="162"/>
      <c r="H11" s="163"/>
    </row>
    <row r="12" spans="1:8" ht="28.3" x14ac:dyDescent="0.4">
      <c r="A12" s="175"/>
      <c r="B12" s="175"/>
      <c r="C12" s="161" t="s">
        <v>438</v>
      </c>
      <c r="D12" s="161" t="s">
        <v>439</v>
      </c>
      <c r="E12" s="161" t="s">
        <v>559</v>
      </c>
      <c r="F12" s="161" t="s">
        <v>560</v>
      </c>
      <c r="G12" s="161" t="s">
        <v>679</v>
      </c>
      <c r="H12" s="161" t="s">
        <v>680</v>
      </c>
    </row>
    <row r="13" spans="1:8" x14ac:dyDescent="0.4">
      <c r="A13" s="175"/>
      <c r="B13" s="175"/>
      <c r="C13" s="162"/>
      <c r="D13" s="163"/>
      <c r="E13" s="162"/>
      <c r="F13" s="163"/>
      <c r="G13" s="162"/>
      <c r="H13" s="163"/>
    </row>
    <row r="14" spans="1:8" ht="28.3" x14ac:dyDescent="0.4">
      <c r="A14" s="175"/>
      <c r="B14" s="175"/>
      <c r="C14" s="161" t="s">
        <v>440</v>
      </c>
      <c r="D14" s="161" t="s">
        <v>441</v>
      </c>
      <c r="E14" s="161" t="s">
        <v>561</v>
      </c>
      <c r="F14" s="161" t="s">
        <v>562</v>
      </c>
      <c r="G14" s="161" t="s">
        <v>681</v>
      </c>
      <c r="H14" s="161" t="s">
        <v>682</v>
      </c>
    </row>
    <row r="15" spans="1:8" x14ac:dyDescent="0.4">
      <c r="A15" s="175"/>
      <c r="B15" s="175"/>
      <c r="C15" s="162"/>
      <c r="D15" s="163"/>
      <c r="E15" s="162"/>
      <c r="F15" s="163"/>
      <c r="G15" s="162"/>
      <c r="H15" s="163"/>
    </row>
    <row r="16" spans="1:8" ht="28.3" x14ac:dyDescent="0.4">
      <c r="A16" s="175"/>
      <c r="B16" s="175"/>
      <c r="C16" s="161" t="s">
        <v>442</v>
      </c>
      <c r="D16" s="161" t="s">
        <v>443</v>
      </c>
      <c r="E16" s="161" t="s">
        <v>563</v>
      </c>
      <c r="F16" s="161" t="s">
        <v>564</v>
      </c>
      <c r="G16" s="161" t="s">
        <v>683</v>
      </c>
      <c r="H16" s="161" t="s">
        <v>684</v>
      </c>
    </row>
    <row r="17" spans="1:8" x14ac:dyDescent="0.4">
      <c r="A17" s="175"/>
      <c r="B17" s="175"/>
      <c r="C17" s="162"/>
      <c r="D17" s="163"/>
      <c r="E17" s="162"/>
      <c r="F17" s="163"/>
      <c r="G17" s="162"/>
      <c r="H17" s="163"/>
    </row>
    <row r="18" spans="1:8" ht="28.3" x14ac:dyDescent="0.4">
      <c r="A18" s="175"/>
      <c r="B18" s="175"/>
      <c r="C18" s="161" t="s">
        <v>444</v>
      </c>
      <c r="D18" s="161" t="s">
        <v>445</v>
      </c>
      <c r="E18" s="161" t="s">
        <v>565</v>
      </c>
      <c r="F18" s="161" t="s">
        <v>566</v>
      </c>
      <c r="G18" s="161" t="s">
        <v>685</v>
      </c>
      <c r="H18" s="161" t="s">
        <v>686</v>
      </c>
    </row>
    <row r="19" spans="1:8" x14ac:dyDescent="0.4">
      <c r="A19" s="175"/>
      <c r="B19" s="175"/>
      <c r="C19" s="162"/>
      <c r="D19" s="163"/>
      <c r="E19" s="162"/>
      <c r="F19" s="163"/>
      <c r="G19" s="162"/>
      <c r="H19" s="163"/>
    </row>
    <row r="20" spans="1:8" ht="28.3" x14ac:dyDescent="0.4">
      <c r="A20" s="175"/>
      <c r="B20" s="175"/>
      <c r="C20" s="161" t="s">
        <v>446</v>
      </c>
      <c r="D20" s="161" t="s">
        <v>447</v>
      </c>
      <c r="E20" s="161" t="s">
        <v>567</v>
      </c>
      <c r="F20" s="161" t="s">
        <v>568</v>
      </c>
      <c r="G20" s="161" t="s">
        <v>687</v>
      </c>
      <c r="H20" s="161" t="s">
        <v>688</v>
      </c>
    </row>
    <row r="21" spans="1:8" x14ac:dyDescent="0.4">
      <c r="A21" s="175"/>
      <c r="B21" s="175"/>
      <c r="C21" s="162"/>
      <c r="D21" s="163"/>
      <c r="E21" s="162"/>
      <c r="F21" s="163"/>
      <c r="G21" s="162"/>
      <c r="H21" s="163"/>
    </row>
    <row r="22" spans="1:8" ht="28.3" x14ac:dyDescent="0.4">
      <c r="A22" s="175"/>
      <c r="B22" s="175"/>
      <c r="C22" s="161" t="s">
        <v>448</v>
      </c>
      <c r="D22" s="161" t="s">
        <v>449</v>
      </c>
      <c r="E22" s="161" t="s">
        <v>569</v>
      </c>
      <c r="F22" s="161" t="s">
        <v>570</v>
      </c>
      <c r="G22" s="161" t="s">
        <v>689</v>
      </c>
      <c r="H22" s="161" t="s">
        <v>690</v>
      </c>
    </row>
    <row r="23" spans="1:8" x14ac:dyDescent="0.4">
      <c r="A23" s="175"/>
      <c r="B23" s="175"/>
      <c r="C23" s="162"/>
      <c r="D23" s="163"/>
      <c r="E23" s="162"/>
      <c r="F23" s="163"/>
      <c r="G23" s="162"/>
      <c r="H23" s="163"/>
    </row>
    <row r="24" spans="1:8" ht="28.3" x14ac:dyDescent="0.4">
      <c r="A24" s="175"/>
      <c r="B24" s="175"/>
      <c r="C24" s="161" t="s">
        <v>450</v>
      </c>
      <c r="D24" s="161" t="s">
        <v>451</v>
      </c>
      <c r="E24" s="161" t="s">
        <v>571</v>
      </c>
      <c r="F24" s="161" t="s">
        <v>572</v>
      </c>
      <c r="G24" s="161" t="s">
        <v>691</v>
      </c>
      <c r="H24" s="161" t="s">
        <v>692</v>
      </c>
    </row>
    <row r="25" spans="1:8" x14ac:dyDescent="0.4">
      <c r="A25" s="175"/>
      <c r="B25" s="175"/>
      <c r="C25" s="162"/>
      <c r="D25" s="163"/>
      <c r="E25" s="162"/>
      <c r="F25" s="163"/>
      <c r="G25" s="162"/>
      <c r="H25" s="163"/>
    </row>
    <row r="26" spans="1:8" ht="28.3" x14ac:dyDescent="0.4">
      <c r="A26" s="175"/>
      <c r="B26" s="175"/>
      <c r="C26" s="161" t="s">
        <v>452</v>
      </c>
      <c r="D26" s="161" t="s">
        <v>453</v>
      </c>
      <c r="E26" s="161" t="s">
        <v>573</v>
      </c>
      <c r="F26" s="161" t="s">
        <v>574</v>
      </c>
      <c r="G26" s="161" t="s">
        <v>693</v>
      </c>
      <c r="H26" s="161" t="s">
        <v>694</v>
      </c>
    </row>
    <row r="27" spans="1:8" x14ac:dyDescent="0.4">
      <c r="A27" s="175"/>
      <c r="B27" s="175"/>
      <c r="C27" s="162"/>
      <c r="D27" s="163"/>
      <c r="E27" s="162"/>
      <c r="F27" s="163"/>
      <c r="G27" s="162"/>
      <c r="H27" s="163"/>
    </row>
    <row r="28" spans="1:8" ht="28.3" x14ac:dyDescent="0.4">
      <c r="A28" s="175"/>
      <c r="B28" s="175"/>
      <c r="C28" s="161" t="s">
        <v>454</v>
      </c>
      <c r="D28" s="161" t="s">
        <v>455</v>
      </c>
      <c r="E28" s="161" t="s">
        <v>575</v>
      </c>
      <c r="F28" s="161" t="s">
        <v>576</v>
      </c>
      <c r="G28" s="161" t="s">
        <v>695</v>
      </c>
      <c r="H28" s="161" t="s">
        <v>696</v>
      </c>
    </row>
    <row r="29" spans="1:8" x14ac:dyDescent="0.4">
      <c r="A29" s="175"/>
      <c r="B29" s="175"/>
      <c r="C29" s="162"/>
      <c r="D29" s="163"/>
      <c r="E29" s="162"/>
      <c r="F29" s="163"/>
      <c r="G29" s="162"/>
      <c r="H29" s="163"/>
    </row>
    <row r="30" spans="1:8" ht="28.3" x14ac:dyDescent="0.4">
      <c r="A30" s="175"/>
      <c r="B30" s="175"/>
      <c r="C30" s="161" t="s">
        <v>456</v>
      </c>
      <c r="D30" s="161" t="s">
        <v>457</v>
      </c>
      <c r="E30" s="161" t="s">
        <v>577</v>
      </c>
      <c r="F30" s="161" t="s">
        <v>578</v>
      </c>
      <c r="G30" s="161" t="s">
        <v>697</v>
      </c>
      <c r="H30" s="161" t="s">
        <v>698</v>
      </c>
    </row>
    <row r="31" spans="1:8" x14ac:dyDescent="0.4">
      <c r="A31" s="175"/>
      <c r="B31" s="175"/>
      <c r="C31" s="162"/>
      <c r="D31" s="163"/>
      <c r="E31" s="162"/>
      <c r="F31" s="163"/>
      <c r="G31" s="162"/>
      <c r="H31" s="163"/>
    </row>
    <row r="32" spans="1:8" ht="28.3" x14ac:dyDescent="0.4">
      <c r="A32" s="175"/>
      <c r="B32" s="175"/>
      <c r="C32" s="161" t="s">
        <v>458</v>
      </c>
      <c r="D32" s="161" t="s">
        <v>459</v>
      </c>
      <c r="E32" s="161" t="s">
        <v>579</v>
      </c>
      <c r="F32" s="161" t="s">
        <v>580</v>
      </c>
      <c r="G32" s="161" t="s">
        <v>699</v>
      </c>
      <c r="H32" s="161" t="s">
        <v>700</v>
      </c>
    </row>
    <row r="33" spans="1:8" x14ac:dyDescent="0.4">
      <c r="A33" s="175"/>
      <c r="B33" s="175"/>
      <c r="C33" s="162"/>
      <c r="D33" s="163"/>
      <c r="E33" s="162"/>
      <c r="F33" s="163"/>
      <c r="G33" s="162"/>
      <c r="H33" s="163"/>
    </row>
    <row r="34" spans="1:8" ht="28.3" x14ac:dyDescent="0.4">
      <c r="A34" s="175"/>
      <c r="B34" s="175"/>
      <c r="C34" s="161" t="s">
        <v>460</v>
      </c>
      <c r="D34" s="161" t="s">
        <v>461</v>
      </c>
      <c r="E34" s="161" t="s">
        <v>581</v>
      </c>
      <c r="F34" s="161" t="s">
        <v>582</v>
      </c>
      <c r="G34" s="161" t="s">
        <v>701</v>
      </c>
      <c r="H34" s="161" t="s">
        <v>702</v>
      </c>
    </row>
    <row r="35" spans="1:8" x14ac:dyDescent="0.4">
      <c r="A35" s="175"/>
      <c r="B35" s="175"/>
      <c r="C35" s="162"/>
      <c r="D35" s="163"/>
      <c r="E35" s="162"/>
      <c r="F35" s="163"/>
      <c r="G35" s="162"/>
      <c r="H35" s="163"/>
    </row>
    <row r="36" spans="1:8" ht="28.3" x14ac:dyDescent="0.4">
      <c r="A36" s="175"/>
      <c r="B36" s="175"/>
      <c r="C36" s="161" t="s">
        <v>462</v>
      </c>
      <c r="D36" s="161" t="s">
        <v>463</v>
      </c>
      <c r="E36" s="161" t="s">
        <v>583</v>
      </c>
      <c r="F36" s="161" t="s">
        <v>584</v>
      </c>
      <c r="G36" s="161" t="s">
        <v>703</v>
      </c>
      <c r="H36" s="161" t="s">
        <v>704</v>
      </c>
    </row>
    <row r="37" spans="1:8" x14ac:dyDescent="0.4">
      <c r="A37" s="175"/>
      <c r="B37" s="175"/>
      <c r="C37" s="162"/>
      <c r="D37" s="163"/>
      <c r="E37" s="162"/>
      <c r="F37" s="163"/>
      <c r="G37" s="162"/>
      <c r="H37" s="163"/>
    </row>
    <row r="38" spans="1:8" ht="28.3" x14ac:dyDescent="0.4">
      <c r="A38" s="175"/>
      <c r="B38" s="175"/>
      <c r="C38" s="161" t="s">
        <v>464</v>
      </c>
      <c r="D38" s="161" t="s">
        <v>465</v>
      </c>
      <c r="E38" s="161" t="s">
        <v>585</v>
      </c>
      <c r="F38" s="161" t="s">
        <v>586</v>
      </c>
      <c r="G38" s="161" t="s">
        <v>705</v>
      </c>
      <c r="H38" s="161" t="s">
        <v>706</v>
      </c>
    </row>
    <row r="39" spans="1:8" x14ac:dyDescent="0.4">
      <c r="A39" s="175"/>
      <c r="B39" s="175"/>
      <c r="C39" s="162"/>
      <c r="D39" s="163"/>
      <c r="E39" s="162"/>
      <c r="F39" s="163"/>
      <c r="G39" s="162"/>
      <c r="H39" s="163"/>
    </row>
    <row r="40" spans="1:8" ht="28.3" x14ac:dyDescent="0.4">
      <c r="A40" s="175"/>
      <c r="B40" s="175"/>
      <c r="C40" s="161" t="s">
        <v>466</v>
      </c>
      <c r="D40" s="161" t="s">
        <v>467</v>
      </c>
      <c r="E40" s="161" t="s">
        <v>587</v>
      </c>
      <c r="F40" s="161" t="s">
        <v>588</v>
      </c>
      <c r="G40" s="161" t="s">
        <v>707</v>
      </c>
      <c r="H40" s="161" t="s">
        <v>708</v>
      </c>
    </row>
    <row r="41" spans="1:8" x14ac:dyDescent="0.4">
      <c r="A41" s="175"/>
      <c r="B41" s="175"/>
      <c r="C41" s="162"/>
      <c r="D41" s="163"/>
      <c r="E41" s="162"/>
      <c r="F41" s="163"/>
      <c r="G41" s="162"/>
      <c r="H41" s="163"/>
    </row>
    <row r="42" spans="1:8" ht="28.3" x14ac:dyDescent="0.4">
      <c r="A42" s="175"/>
      <c r="B42" s="175"/>
      <c r="C42" s="161" t="s">
        <v>468</v>
      </c>
      <c r="D42" s="161" t="s">
        <v>469</v>
      </c>
      <c r="E42" s="161" t="s">
        <v>589</v>
      </c>
      <c r="F42" s="161" t="s">
        <v>590</v>
      </c>
      <c r="G42" s="161" t="s">
        <v>709</v>
      </c>
      <c r="H42" s="161" t="s">
        <v>710</v>
      </c>
    </row>
    <row r="43" spans="1:8" x14ac:dyDescent="0.4">
      <c r="A43" s="175"/>
      <c r="B43" s="175"/>
      <c r="C43" s="162"/>
      <c r="D43" s="163"/>
      <c r="E43" s="162"/>
      <c r="F43" s="163"/>
      <c r="G43" s="162"/>
      <c r="H43" s="163"/>
    </row>
    <row r="44" spans="1:8" ht="28.3" x14ac:dyDescent="0.4">
      <c r="A44" s="175"/>
      <c r="B44" s="175"/>
      <c r="C44" s="161" t="s">
        <v>470</v>
      </c>
      <c r="D44" s="161" t="s">
        <v>471</v>
      </c>
      <c r="E44" s="161" t="s">
        <v>591</v>
      </c>
      <c r="F44" s="161" t="s">
        <v>592</v>
      </c>
      <c r="G44" s="161" t="s">
        <v>711</v>
      </c>
      <c r="H44" s="161" t="s">
        <v>712</v>
      </c>
    </row>
    <row r="45" spans="1:8" x14ac:dyDescent="0.4">
      <c r="A45" s="175"/>
      <c r="B45" s="175"/>
      <c r="C45" s="162"/>
      <c r="D45" s="163"/>
      <c r="E45" s="162"/>
      <c r="F45" s="163"/>
      <c r="G45" s="162"/>
      <c r="H45" s="163"/>
    </row>
    <row r="46" spans="1:8" ht="28.3" x14ac:dyDescent="0.4">
      <c r="A46" s="175"/>
      <c r="B46" s="175"/>
      <c r="C46" s="161" t="s">
        <v>472</v>
      </c>
      <c r="D46" s="161" t="s">
        <v>473</v>
      </c>
      <c r="E46" s="161" t="s">
        <v>593</v>
      </c>
      <c r="F46" s="161" t="s">
        <v>594</v>
      </c>
      <c r="G46" s="161" t="s">
        <v>713</v>
      </c>
      <c r="H46" s="161" t="s">
        <v>714</v>
      </c>
    </row>
    <row r="47" spans="1:8" x14ac:dyDescent="0.4">
      <c r="A47" s="175"/>
      <c r="B47" s="175"/>
      <c r="C47" s="162"/>
      <c r="D47" s="163"/>
      <c r="E47" s="162"/>
      <c r="F47" s="163"/>
      <c r="G47" s="162"/>
      <c r="H47" s="163"/>
    </row>
    <row r="48" spans="1:8" ht="28.3" x14ac:dyDescent="0.4">
      <c r="A48" s="175"/>
      <c r="B48" s="175"/>
      <c r="C48" s="161" t="s">
        <v>474</v>
      </c>
      <c r="D48" s="161" t="s">
        <v>475</v>
      </c>
      <c r="E48" s="161" t="s">
        <v>595</v>
      </c>
      <c r="F48" s="161" t="s">
        <v>596</v>
      </c>
      <c r="G48" s="161" t="s">
        <v>715</v>
      </c>
      <c r="H48" s="161" t="s">
        <v>716</v>
      </c>
    </row>
    <row r="49" spans="1:8" x14ac:dyDescent="0.4">
      <c r="A49" s="175"/>
      <c r="B49" s="175"/>
      <c r="C49" s="162"/>
      <c r="D49" s="163"/>
      <c r="E49" s="162"/>
      <c r="F49" s="163"/>
      <c r="G49" s="162"/>
      <c r="H49" s="163"/>
    </row>
    <row r="50" spans="1:8" ht="28.3" x14ac:dyDescent="0.4">
      <c r="A50" s="175"/>
      <c r="B50" s="175"/>
      <c r="C50" s="161" t="s">
        <v>476</v>
      </c>
      <c r="D50" s="161" t="s">
        <v>477</v>
      </c>
      <c r="E50" s="161" t="s">
        <v>597</v>
      </c>
      <c r="F50" s="161" t="s">
        <v>598</v>
      </c>
      <c r="G50" s="161" t="s">
        <v>717</v>
      </c>
      <c r="H50" s="161" t="s">
        <v>718</v>
      </c>
    </row>
    <row r="51" spans="1:8" x14ac:dyDescent="0.4">
      <c r="A51" s="175"/>
      <c r="B51" s="175"/>
      <c r="C51" s="162"/>
      <c r="D51" s="163"/>
      <c r="E51" s="162"/>
      <c r="F51" s="163"/>
      <c r="G51" s="162"/>
      <c r="H51" s="163"/>
    </row>
    <row r="52" spans="1:8" ht="28.3" x14ac:dyDescent="0.4">
      <c r="A52" s="175"/>
      <c r="B52" s="175"/>
      <c r="C52" s="161" t="s">
        <v>478</v>
      </c>
      <c r="D52" s="161" t="s">
        <v>479</v>
      </c>
      <c r="E52" s="161" t="s">
        <v>599</v>
      </c>
      <c r="F52" s="161" t="s">
        <v>600</v>
      </c>
      <c r="G52" s="161" t="s">
        <v>719</v>
      </c>
      <c r="H52" s="161" t="s">
        <v>720</v>
      </c>
    </row>
    <row r="53" spans="1:8" x14ac:dyDescent="0.4">
      <c r="A53" s="175"/>
      <c r="B53" s="175"/>
      <c r="C53" s="162"/>
      <c r="D53" s="163"/>
      <c r="E53" s="162"/>
      <c r="F53" s="163"/>
      <c r="G53" s="162"/>
      <c r="H53" s="163"/>
    </row>
    <row r="54" spans="1:8" ht="28.3" x14ac:dyDescent="0.4">
      <c r="A54" s="175"/>
      <c r="B54" s="175"/>
      <c r="C54" s="161" t="s">
        <v>480</v>
      </c>
      <c r="D54" s="161" t="s">
        <v>481</v>
      </c>
      <c r="E54" s="161" t="s">
        <v>601</v>
      </c>
      <c r="F54" s="161" t="s">
        <v>602</v>
      </c>
      <c r="G54" s="161" t="s">
        <v>721</v>
      </c>
      <c r="H54" s="161" t="s">
        <v>722</v>
      </c>
    </row>
    <row r="55" spans="1:8" x14ac:dyDescent="0.4">
      <c r="A55" s="175"/>
      <c r="B55" s="175"/>
      <c r="C55" s="162"/>
      <c r="D55" s="163"/>
      <c r="E55" s="162"/>
      <c r="F55" s="163"/>
      <c r="G55" s="162"/>
      <c r="H55" s="163"/>
    </row>
    <row r="56" spans="1:8" ht="28.3" x14ac:dyDescent="0.4">
      <c r="A56" s="175"/>
      <c r="B56" s="175"/>
      <c r="C56" s="161" t="s">
        <v>482</v>
      </c>
      <c r="D56" s="161" t="s">
        <v>483</v>
      </c>
      <c r="E56" s="161" t="s">
        <v>603</v>
      </c>
      <c r="F56" s="161" t="s">
        <v>604</v>
      </c>
      <c r="G56" s="161" t="s">
        <v>723</v>
      </c>
      <c r="H56" s="161" t="s">
        <v>724</v>
      </c>
    </row>
    <row r="57" spans="1:8" x14ac:dyDescent="0.4">
      <c r="A57" s="175"/>
      <c r="B57" s="175"/>
      <c r="C57" s="162"/>
      <c r="D57" s="163"/>
      <c r="E57" s="162"/>
      <c r="F57" s="163"/>
      <c r="G57" s="162"/>
      <c r="H57" s="163"/>
    </row>
    <row r="58" spans="1:8" ht="28.3" x14ac:dyDescent="0.4">
      <c r="A58" s="175"/>
      <c r="B58" s="175"/>
      <c r="C58" s="161" t="s">
        <v>484</v>
      </c>
      <c r="D58" s="161" t="s">
        <v>485</v>
      </c>
      <c r="E58" s="161" t="s">
        <v>605</v>
      </c>
      <c r="F58" s="161" t="s">
        <v>606</v>
      </c>
      <c r="G58" s="161" t="s">
        <v>725</v>
      </c>
      <c r="H58" s="161" t="s">
        <v>726</v>
      </c>
    </row>
    <row r="59" spans="1:8" x14ac:dyDescent="0.4">
      <c r="A59" s="175"/>
      <c r="B59" s="175"/>
      <c r="C59" s="162"/>
      <c r="D59" s="163"/>
      <c r="E59" s="162"/>
      <c r="F59" s="163"/>
      <c r="G59" s="162"/>
      <c r="H59" s="163"/>
    </row>
    <row r="60" spans="1:8" ht="28.3" x14ac:dyDescent="0.4">
      <c r="A60" s="175"/>
      <c r="B60" s="175"/>
      <c r="C60" s="161" t="s">
        <v>486</v>
      </c>
      <c r="D60" s="161" t="s">
        <v>487</v>
      </c>
      <c r="E60" s="161" t="s">
        <v>607</v>
      </c>
      <c r="F60" s="161" t="s">
        <v>608</v>
      </c>
      <c r="G60" s="161" t="s">
        <v>727</v>
      </c>
      <c r="H60" s="161" t="s">
        <v>728</v>
      </c>
    </row>
    <row r="61" spans="1:8" x14ac:dyDescent="0.4">
      <c r="A61" s="175"/>
      <c r="B61" s="175"/>
      <c r="C61" s="162"/>
      <c r="D61" s="163"/>
      <c r="E61" s="162"/>
      <c r="F61" s="163"/>
      <c r="G61" s="162"/>
      <c r="H61" s="163"/>
    </row>
    <row r="62" spans="1:8" ht="28.3" x14ac:dyDescent="0.4">
      <c r="A62" s="175"/>
      <c r="B62" s="175"/>
      <c r="C62" s="161" t="s">
        <v>488</v>
      </c>
      <c r="D62" s="161" t="s">
        <v>489</v>
      </c>
      <c r="E62" s="161" t="s">
        <v>609</v>
      </c>
      <c r="F62" s="161" t="s">
        <v>610</v>
      </c>
      <c r="G62" s="161" t="s">
        <v>729</v>
      </c>
      <c r="H62" s="161" t="s">
        <v>730</v>
      </c>
    </row>
    <row r="63" spans="1:8" x14ac:dyDescent="0.4">
      <c r="A63" s="175"/>
      <c r="B63" s="175"/>
      <c r="C63" s="162"/>
      <c r="D63" s="163"/>
      <c r="E63" s="162"/>
      <c r="F63" s="163"/>
      <c r="G63" s="162"/>
      <c r="H63" s="163"/>
    </row>
    <row r="64" spans="1:8" ht="28.3" x14ac:dyDescent="0.4">
      <c r="A64" s="175"/>
      <c r="B64" s="175"/>
      <c r="C64" s="161" t="s">
        <v>490</v>
      </c>
      <c r="D64" s="161" t="s">
        <v>491</v>
      </c>
      <c r="E64" s="161" t="s">
        <v>611</v>
      </c>
      <c r="F64" s="161" t="s">
        <v>612</v>
      </c>
      <c r="G64" s="161" t="s">
        <v>731</v>
      </c>
      <c r="H64" s="161" t="s">
        <v>732</v>
      </c>
    </row>
    <row r="65" spans="1:8" x14ac:dyDescent="0.4">
      <c r="A65" s="175"/>
      <c r="B65" s="175"/>
      <c r="C65" s="162"/>
      <c r="D65" s="163"/>
      <c r="E65" s="162"/>
      <c r="F65" s="163"/>
      <c r="G65" s="162"/>
      <c r="H65" s="163"/>
    </row>
    <row r="66" spans="1:8" ht="28.3" x14ac:dyDescent="0.4">
      <c r="A66" s="175"/>
      <c r="B66" s="175"/>
      <c r="C66" s="161" t="s">
        <v>492</v>
      </c>
      <c r="D66" s="161" t="s">
        <v>493</v>
      </c>
      <c r="E66" s="161" t="s">
        <v>613</v>
      </c>
      <c r="F66" s="161" t="s">
        <v>614</v>
      </c>
      <c r="G66" s="161" t="s">
        <v>733</v>
      </c>
      <c r="H66" s="161" t="s">
        <v>734</v>
      </c>
    </row>
    <row r="67" spans="1:8" x14ac:dyDescent="0.4">
      <c r="A67" s="175"/>
      <c r="B67" s="175"/>
      <c r="C67" s="162"/>
      <c r="D67" s="163"/>
      <c r="E67" s="162"/>
      <c r="F67" s="163"/>
      <c r="G67" s="162"/>
      <c r="H67" s="163"/>
    </row>
    <row r="68" spans="1:8" ht="28.3" x14ac:dyDescent="0.4">
      <c r="A68" s="175"/>
      <c r="B68" s="175"/>
      <c r="C68" s="161" t="s">
        <v>494</v>
      </c>
      <c r="D68" s="161" t="s">
        <v>495</v>
      </c>
      <c r="E68" s="161" t="s">
        <v>615</v>
      </c>
      <c r="F68" s="161" t="s">
        <v>616</v>
      </c>
      <c r="G68" s="161" t="s">
        <v>735</v>
      </c>
      <c r="H68" s="161" t="s">
        <v>736</v>
      </c>
    </row>
    <row r="69" spans="1:8" x14ac:dyDescent="0.4">
      <c r="A69" s="175"/>
      <c r="B69" s="175"/>
      <c r="C69" s="162"/>
      <c r="D69" s="163"/>
      <c r="E69" s="162"/>
      <c r="F69" s="163"/>
      <c r="G69" s="162"/>
      <c r="H69" s="163"/>
    </row>
    <row r="70" spans="1:8" ht="28.3" x14ac:dyDescent="0.4">
      <c r="A70" s="175"/>
      <c r="B70" s="175"/>
      <c r="C70" s="161" t="s">
        <v>496</v>
      </c>
      <c r="D70" s="161" t="s">
        <v>497</v>
      </c>
      <c r="E70" s="161" t="s">
        <v>617</v>
      </c>
      <c r="F70" s="161" t="s">
        <v>618</v>
      </c>
      <c r="G70" s="161" t="s">
        <v>737</v>
      </c>
      <c r="H70" s="161" t="s">
        <v>738</v>
      </c>
    </row>
    <row r="71" spans="1:8" x14ac:dyDescent="0.4">
      <c r="A71" s="175"/>
      <c r="B71" s="175"/>
      <c r="C71" s="162"/>
      <c r="D71" s="163"/>
      <c r="E71" s="162"/>
      <c r="F71" s="163"/>
      <c r="G71" s="162"/>
      <c r="H71" s="163"/>
    </row>
    <row r="72" spans="1:8" ht="28.3" x14ac:dyDescent="0.4">
      <c r="A72" s="175"/>
      <c r="B72" s="175"/>
      <c r="C72" s="161" t="s">
        <v>498</v>
      </c>
      <c r="D72" s="161" t="s">
        <v>499</v>
      </c>
      <c r="E72" s="161" t="s">
        <v>619</v>
      </c>
      <c r="F72" s="161" t="s">
        <v>620</v>
      </c>
      <c r="G72" s="161" t="s">
        <v>739</v>
      </c>
      <c r="H72" s="161" t="s">
        <v>740</v>
      </c>
    </row>
    <row r="73" spans="1:8" x14ac:dyDescent="0.4">
      <c r="A73" s="175"/>
      <c r="B73" s="175"/>
      <c r="C73" s="162"/>
      <c r="D73" s="163"/>
      <c r="E73" s="162"/>
      <c r="F73" s="163"/>
      <c r="G73" s="162"/>
      <c r="H73" s="163"/>
    </row>
    <row r="74" spans="1:8" ht="28.3" x14ac:dyDescent="0.4">
      <c r="A74" s="175"/>
      <c r="B74" s="175"/>
      <c r="C74" s="161" t="s">
        <v>500</v>
      </c>
      <c r="D74" s="161" t="s">
        <v>501</v>
      </c>
      <c r="E74" s="161" t="s">
        <v>621</v>
      </c>
      <c r="F74" s="161" t="s">
        <v>622</v>
      </c>
      <c r="G74" s="161" t="s">
        <v>741</v>
      </c>
      <c r="H74" s="161" t="s">
        <v>742</v>
      </c>
    </row>
    <row r="75" spans="1:8" x14ac:dyDescent="0.4">
      <c r="A75" s="175"/>
      <c r="B75" s="175"/>
      <c r="C75" s="162"/>
      <c r="D75" s="163"/>
      <c r="E75" s="162"/>
      <c r="F75" s="163"/>
      <c r="G75" s="162"/>
      <c r="H75" s="163"/>
    </row>
    <row r="76" spans="1:8" ht="28.3" x14ac:dyDescent="0.4">
      <c r="A76" s="175"/>
      <c r="B76" s="175"/>
      <c r="C76" s="161" t="s">
        <v>502</v>
      </c>
      <c r="D76" s="161" t="s">
        <v>503</v>
      </c>
      <c r="E76" s="161" t="s">
        <v>623</v>
      </c>
      <c r="F76" s="161" t="s">
        <v>624</v>
      </c>
      <c r="G76" s="161" t="s">
        <v>743</v>
      </c>
      <c r="H76" s="161" t="s">
        <v>744</v>
      </c>
    </row>
    <row r="77" spans="1:8" x14ac:dyDescent="0.4">
      <c r="A77" s="175"/>
      <c r="B77" s="175"/>
      <c r="C77" s="162"/>
      <c r="D77" s="163"/>
      <c r="E77" s="162"/>
      <c r="F77" s="163"/>
      <c r="G77" s="162"/>
      <c r="H77" s="163"/>
    </row>
    <row r="78" spans="1:8" ht="28.3" x14ac:dyDescent="0.4">
      <c r="A78" s="175"/>
      <c r="B78" s="175"/>
      <c r="C78" s="161" t="s">
        <v>504</v>
      </c>
      <c r="D78" s="161" t="s">
        <v>505</v>
      </c>
      <c r="E78" s="161" t="s">
        <v>625</v>
      </c>
      <c r="F78" s="161" t="s">
        <v>626</v>
      </c>
      <c r="G78" s="161" t="s">
        <v>745</v>
      </c>
      <c r="H78" s="161" t="s">
        <v>746</v>
      </c>
    </row>
    <row r="79" spans="1:8" x14ac:dyDescent="0.4">
      <c r="A79" s="175"/>
      <c r="B79" s="175"/>
      <c r="C79" s="162"/>
      <c r="D79" s="163"/>
      <c r="E79" s="162"/>
      <c r="F79" s="163"/>
      <c r="G79" s="162"/>
      <c r="H79" s="163"/>
    </row>
    <row r="80" spans="1:8" ht="28.3" x14ac:dyDescent="0.4">
      <c r="A80" s="175"/>
      <c r="B80" s="175"/>
      <c r="C80" s="161" t="s">
        <v>506</v>
      </c>
      <c r="D80" s="161" t="s">
        <v>507</v>
      </c>
      <c r="E80" s="161" t="s">
        <v>627</v>
      </c>
      <c r="F80" s="161" t="s">
        <v>628</v>
      </c>
      <c r="G80" s="161" t="s">
        <v>747</v>
      </c>
      <c r="H80" s="161" t="s">
        <v>748</v>
      </c>
    </row>
    <row r="81" spans="1:8" x14ac:dyDescent="0.4">
      <c r="A81" s="175"/>
      <c r="B81" s="175"/>
      <c r="C81" s="162"/>
      <c r="D81" s="163"/>
      <c r="E81" s="162"/>
      <c r="F81" s="163"/>
      <c r="G81" s="162"/>
      <c r="H81" s="163"/>
    </row>
    <row r="82" spans="1:8" ht="28.3" x14ac:dyDescent="0.4">
      <c r="A82" s="175"/>
      <c r="B82" s="175"/>
      <c r="C82" s="161" t="s">
        <v>508</v>
      </c>
      <c r="D82" s="161" t="s">
        <v>509</v>
      </c>
      <c r="E82" s="161" t="s">
        <v>629</v>
      </c>
      <c r="F82" s="161" t="s">
        <v>630</v>
      </c>
      <c r="G82" s="161" t="s">
        <v>749</v>
      </c>
      <c r="H82" s="161" t="s">
        <v>750</v>
      </c>
    </row>
    <row r="83" spans="1:8" x14ac:dyDescent="0.4">
      <c r="A83" s="175"/>
      <c r="B83" s="175"/>
      <c r="C83" s="162"/>
      <c r="D83" s="163"/>
      <c r="E83" s="162"/>
      <c r="F83" s="163"/>
      <c r="G83" s="162"/>
      <c r="H83" s="163"/>
    </row>
    <row r="84" spans="1:8" ht="28.3" x14ac:dyDescent="0.4">
      <c r="A84" s="175"/>
      <c r="B84" s="175"/>
      <c r="C84" s="161" t="s">
        <v>510</v>
      </c>
      <c r="D84" s="161" t="s">
        <v>511</v>
      </c>
      <c r="E84" s="161" t="s">
        <v>631</v>
      </c>
      <c r="F84" s="161" t="s">
        <v>632</v>
      </c>
      <c r="G84" s="161" t="s">
        <v>751</v>
      </c>
      <c r="H84" s="161" t="s">
        <v>752</v>
      </c>
    </row>
    <row r="85" spans="1:8" x14ac:dyDescent="0.4">
      <c r="A85" s="175"/>
      <c r="B85" s="175"/>
      <c r="C85" s="162"/>
      <c r="D85" s="163"/>
      <c r="E85" s="162"/>
      <c r="F85" s="163"/>
      <c r="G85" s="162"/>
      <c r="H85" s="163"/>
    </row>
    <row r="86" spans="1:8" ht="28.3" x14ac:dyDescent="0.4">
      <c r="A86" s="175"/>
      <c r="B86" s="175"/>
      <c r="C86" s="161" t="s">
        <v>512</v>
      </c>
      <c r="D86" s="161" t="s">
        <v>513</v>
      </c>
      <c r="E86" s="161" t="s">
        <v>633</v>
      </c>
      <c r="F86" s="161" t="s">
        <v>634</v>
      </c>
      <c r="G86" s="161" t="s">
        <v>753</v>
      </c>
      <c r="H86" s="161" t="s">
        <v>754</v>
      </c>
    </row>
    <row r="87" spans="1:8" x14ac:dyDescent="0.4">
      <c r="A87" s="175"/>
      <c r="B87" s="175"/>
      <c r="C87" s="162"/>
      <c r="D87" s="163"/>
      <c r="E87" s="162"/>
      <c r="F87" s="163"/>
      <c r="G87" s="162"/>
      <c r="H87" s="163"/>
    </row>
    <row r="88" spans="1:8" ht="28.3" x14ac:dyDescent="0.4">
      <c r="A88" s="175"/>
      <c r="B88" s="175"/>
      <c r="C88" s="161" t="s">
        <v>514</v>
      </c>
      <c r="D88" s="161" t="s">
        <v>515</v>
      </c>
      <c r="E88" s="161" t="s">
        <v>635</v>
      </c>
      <c r="F88" s="161" t="s">
        <v>636</v>
      </c>
      <c r="G88" s="161" t="s">
        <v>755</v>
      </c>
      <c r="H88" s="161" t="s">
        <v>756</v>
      </c>
    </row>
    <row r="89" spans="1:8" x14ac:dyDescent="0.4">
      <c r="A89" s="175"/>
      <c r="B89" s="175"/>
      <c r="C89" s="162"/>
      <c r="D89" s="163"/>
      <c r="E89" s="162"/>
      <c r="F89" s="163"/>
      <c r="G89" s="162"/>
      <c r="H89" s="163"/>
    </row>
    <row r="90" spans="1:8" ht="28.3" x14ac:dyDescent="0.4">
      <c r="A90" s="175"/>
      <c r="B90" s="175"/>
      <c r="C90" s="161" t="s">
        <v>516</v>
      </c>
      <c r="D90" s="161" t="s">
        <v>517</v>
      </c>
      <c r="E90" s="161" t="s">
        <v>637</v>
      </c>
      <c r="F90" s="161" t="s">
        <v>638</v>
      </c>
      <c r="G90" s="161" t="s">
        <v>757</v>
      </c>
      <c r="H90" s="161" t="s">
        <v>758</v>
      </c>
    </row>
    <row r="91" spans="1:8" x14ac:dyDescent="0.4">
      <c r="A91" s="175"/>
      <c r="B91" s="175"/>
      <c r="C91" s="162"/>
      <c r="D91" s="163"/>
      <c r="E91" s="162"/>
      <c r="F91" s="163"/>
      <c r="G91" s="162"/>
      <c r="H91" s="163"/>
    </row>
    <row r="92" spans="1:8" ht="28.3" x14ac:dyDescent="0.4">
      <c r="A92" s="175"/>
      <c r="B92" s="175"/>
      <c r="C92" s="161" t="s">
        <v>518</v>
      </c>
      <c r="D92" s="161" t="s">
        <v>519</v>
      </c>
      <c r="E92" s="161" t="s">
        <v>639</v>
      </c>
      <c r="F92" s="161" t="s">
        <v>640</v>
      </c>
      <c r="G92" s="161" t="s">
        <v>759</v>
      </c>
      <c r="H92" s="161" t="s">
        <v>760</v>
      </c>
    </row>
    <row r="93" spans="1:8" x14ac:dyDescent="0.4">
      <c r="A93" s="175"/>
      <c r="B93" s="175"/>
      <c r="C93" s="162"/>
      <c r="D93" s="163"/>
      <c r="E93" s="162"/>
      <c r="F93" s="163"/>
      <c r="G93" s="162"/>
      <c r="H93" s="163"/>
    </row>
    <row r="94" spans="1:8" ht="28.3" x14ac:dyDescent="0.4">
      <c r="A94" s="175"/>
      <c r="B94" s="175"/>
      <c r="C94" s="161" t="s">
        <v>520</v>
      </c>
      <c r="D94" s="161" t="s">
        <v>521</v>
      </c>
      <c r="E94" s="161" t="s">
        <v>641</v>
      </c>
      <c r="F94" s="161" t="s">
        <v>642</v>
      </c>
      <c r="G94" s="161" t="s">
        <v>761</v>
      </c>
      <c r="H94" s="161" t="s">
        <v>762</v>
      </c>
    </row>
    <row r="95" spans="1:8" x14ac:dyDescent="0.4">
      <c r="A95" s="175"/>
      <c r="B95" s="175"/>
      <c r="C95" s="162"/>
      <c r="D95" s="163"/>
      <c r="E95" s="162"/>
      <c r="F95" s="163"/>
      <c r="G95" s="162"/>
      <c r="H95" s="163"/>
    </row>
    <row r="96" spans="1:8" ht="28.3" x14ac:dyDescent="0.4">
      <c r="A96" s="175"/>
      <c r="B96" s="175"/>
      <c r="C96" s="161" t="s">
        <v>522</v>
      </c>
      <c r="D96" s="161" t="s">
        <v>523</v>
      </c>
      <c r="E96" s="161" t="s">
        <v>643</v>
      </c>
      <c r="F96" s="161" t="s">
        <v>644</v>
      </c>
      <c r="G96" s="161" t="s">
        <v>763</v>
      </c>
      <c r="H96" s="161" t="s">
        <v>764</v>
      </c>
    </row>
    <row r="97" spans="1:8" x14ac:dyDescent="0.4">
      <c r="A97" s="175"/>
      <c r="B97" s="175"/>
      <c r="C97" s="162"/>
      <c r="D97" s="163"/>
      <c r="E97" s="162"/>
      <c r="F97" s="163"/>
      <c r="G97" s="162"/>
      <c r="H97" s="163"/>
    </row>
    <row r="98" spans="1:8" ht="28.3" x14ac:dyDescent="0.4">
      <c r="A98" s="175"/>
      <c r="B98" s="175"/>
      <c r="C98" s="161" t="s">
        <v>524</v>
      </c>
      <c r="D98" s="161" t="s">
        <v>525</v>
      </c>
      <c r="E98" s="161" t="s">
        <v>645</v>
      </c>
      <c r="F98" s="161" t="s">
        <v>646</v>
      </c>
      <c r="G98" s="161" t="s">
        <v>765</v>
      </c>
      <c r="H98" s="161" t="s">
        <v>766</v>
      </c>
    </row>
    <row r="99" spans="1:8" x14ac:dyDescent="0.4">
      <c r="A99" s="175"/>
      <c r="B99" s="175"/>
      <c r="C99" s="162"/>
      <c r="D99" s="163"/>
      <c r="E99" s="162"/>
      <c r="F99" s="163"/>
      <c r="G99" s="162"/>
      <c r="H99" s="163"/>
    </row>
    <row r="100" spans="1:8" ht="28.3" x14ac:dyDescent="0.4">
      <c r="A100" s="175"/>
      <c r="B100" s="175"/>
      <c r="C100" s="161" t="s">
        <v>526</v>
      </c>
      <c r="D100" s="161" t="s">
        <v>527</v>
      </c>
      <c r="E100" s="161" t="s">
        <v>647</v>
      </c>
      <c r="F100" s="161" t="s">
        <v>648</v>
      </c>
      <c r="G100" s="161" t="s">
        <v>767</v>
      </c>
      <c r="H100" s="161" t="s">
        <v>768</v>
      </c>
    </row>
    <row r="101" spans="1:8" x14ac:dyDescent="0.4">
      <c r="A101" s="175"/>
      <c r="B101" s="175"/>
      <c r="C101" s="162"/>
      <c r="D101" s="163"/>
      <c r="E101" s="162"/>
      <c r="F101" s="163"/>
      <c r="G101" s="162"/>
      <c r="H101" s="163"/>
    </row>
    <row r="102" spans="1:8" ht="28.3" x14ac:dyDescent="0.4">
      <c r="A102" s="175"/>
      <c r="B102" s="175"/>
      <c r="C102" s="161" t="s">
        <v>528</v>
      </c>
      <c r="D102" s="161" t="s">
        <v>529</v>
      </c>
      <c r="E102" s="161" t="s">
        <v>649</v>
      </c>
      <c r="F102" s="161" t="s">
        <v>650</v>
      </c>
      <c r="G102" s="161" t="s">
        <v>769</v>
      </c>
      <c r="H102" s="161" t="s">
        <v>770</v>
      </c>
    </row>
    <row r="103" spans="1:8" x14ac:dyDescent="0.4">
      <c r="A103" s="175"/>
      <c r="B103" s="175"/>
      <c r="C103" s="162"/>
      <c r="D103" s="163"/>
      <c r="E103" s="162"/>
      <c r="F103" s="163"/>
      <c r="G103" s="162"/>
      <c r="H103" s="163"/>
    </row>
    <row r="104" spans="1:8" ht="28.3" x14ac:dyDescent="0.4">
      <c r="A104" s="175"/>
      <c r="B104" s="175"/>
      <c r="C104" s="161" t="s">
        <v>530</v>
      </c>
      <c r="D104" s="161" t="s">
        <v>531</v>
      </c>
      <c r="E104" s="161" t="s">
        <v>651</v>
      </c>
      <c r="F104" s="161" t="s">
        <v>652</v>
      </c>
      <c r="G104" s="161" t="s">
        <v>771</v>
      </c>
      <c r="H104" s="161" t="s">
        <v>772</v>
      </c>
    </row>
    <row r="105" spans="1:8" x14ac:dyDescent="0.4">
      <c r="A105" s="175"/>
      <c r="B105" s="175"/>
      <c r="C105" s="162"/>
      <c r="D105" s="163"/>
      <c r="E105" s="162"/>
      <c r="F105" s="163"/>
      <c r="G105" s="162"/>
      <c r="H105" s="163"/>
    </row>
    <row r="106" spans="1:8" ht="28.3" x14ac:dyDescent="0.4">
      <c r="A106" s="175"/>
      <c r="B106" s="175"/>
      <c r="C106" s="161" t="s">
        <v>532</v>
      </c>
      <c r="D106" s="161" t="s">
        <v>533</v>
      </c>
      <c r="E106" s="161" t="s">
        <v>653</v>
      </c>
      <c r="F106" s="161" t="s">
        <v>654</v>
      </c>
      <c r="G106" s="161" t="s">
        <v>773</v>
      </c>
      <c r="H106" s="161" t="s">
        <v>774</v>
      </c>
    </row>
    <row r="107" spans="1:8" x14ac:dyDescent="0.4">
      <c r="A107" s="175"/>
      <c r="B107" s="175"/>
      <c r="C107" s="162"/>
      <c r="D107" s="163"/>
      <c r="E107" s="162"/>
      <c r="F107" s="163"/>
      <c r="G107" s="162"/>
      <c r="H107" s="163"/>
    </row>
    <row r="108" spans="1:8" ht="28.3" x14ac:dyDescent="0.4">
      <c r="A108" s="175"/>
      <c r="B108" s="175"/>
      <c r="C108" s="161" t="s">
        <v>534</v>
      </c>
      <c r="D108" s="161" t="s">
        <v>535</v>
      </c>
      <c r="E108" s="161" t="s">
        <v>655</v>
      </c>
      <c r="F108" s="161" t="s">
        <v>656</v>
      </c>
      <c r="G108" s="161" t="s">
        <v>775</v>
      </c>
      <c r="H108" s="161" t="s">
        <v>776</v>
      </c>
    </row>
    <row r="109" spans="1:8" x14ac:dyDescent="0.4">
      <c r="A109" s="175"/>
      <c r="B109" s="175"/>
      <c r="C109" s="162"/>
      <c r="D109" s="163"/>
      <c r="E109" s="162"/>
      <c r="F109" s="163"/>
      <c r="G109" s="162"/>
      <c r="H109" s="163"/>
    </row>
    <row r="110" spans="1:8" ht="28.3" x14ac:dyDescent="0.4">
      <c r="A110" s="175"/>
      <c r="B110" s="175"/>
      <c r="C110" s="161" t="s">
        <v>536</v>
      </c>
      <c r="D110" s="161" t="s">
        <v>537</v>
      </c>
      <c r="E110" s="161" t="s">
        <v>657</v>
      </c>
      <c r="F110" s="161" t="s">
        <v>658</v>
      </c>
      <c r="G110" s="161" t="s">
        <v>777</v>
      </c>
      <c r="H110" s="161" t="s">
        <v>778</v>
      </c>
    </row>
    <row r="111" spans="1:8" x14ac:dyDescent="0.4">
      <c r="A111" s="175"/>
      <c r="B111" s="175"/>
      <c r="C111" s="162"/>
      <c r="D111" s="163"/>
      <c r="E111" s="162"/>
      <c r="F111" s="163"/>
      <c r="G111" s="162"/>
      <c r="H111" s="163"/>
    </row>
    <row r="112" spans="1:8" ht="28.3" x14ac:dyDescent="0.4">
      <c r="A112" s="175"/>
      <c r="B112" s="175"/>
      <c r="C112" s="161" t="s">
        <v>538</v>
      </c>
      <c r="D112" s="161" t="s">
        <v>539</v>
      </c>
      <c r="E112" s="161" t="s">
        <v>659</v>
      </c>
      <c r="F112" s="161" t="s">
        <v>660</v>
      </c>
      <c r="G112" s="161" t="s">
        <v>779</v>
      </c>
      <c r="H112" s="161" t="s">
        <v>780</v>
      </c>
    </row>
    <row r="113" spans="1:8" x14ac:dyDescent="0.4">
      <c r="A113" s="175"/>
      <c r="B113" s="175"/>
      <c r="C113" s="162"/>
      <c r="D113" s="163"/>
      <c r="E113" s="162"/>
      <c r="F113" s="163"/>
      <c r="G113" s="162"/>
      <c r="H113" s="163"/>
    </row>
    <row r="114" spans="1:8" ht="28.3" x14ac:dyDescent="0.4">
      <c r="A114" s="175"/>
      <c r="B114" s="175"/>
      <c r="C114" s="161" t="s">
        <v>540</v>
      </c>
      <c r="D114" s="161" t="s">
        <v>541</v>
      </c>
      <c r="E114" s="161" t="s">
        <v>661</v>
      </c>
      <c r="F114" s="161" t="s">
        <v>662</v>
      </c>
      <c r="G114" s="161" t="s">
        <v>781</v>
      </c>
      <c r="H114" s="161" t="s">
        <v>782</v>
      </c>
    </row>
    <row r="115" spans="1:8" x14ac:dyDescent="0.4">
      <c r="A115" s="175"/>
      <c r="B115" s="175"/>
      <c r="C115" s="162"/>
      <c r="D115" s="163"/>
      <c r="E115" s="162"/>
      <c r="F115" s="163"/>
      <c r="G115" s="162"/>
      <c r="H115" s="163"/>
    </row>
    <row r="116" spans="1:8" ht="28.3" x14ac:dyDescent="0.4">
      <c r="A116" s="175"/>
      <c r="B116" s="175"/>
      <c r="C116" s="161" t="s">
        <v>542</v>
      </c>
      <c r="D116" s="161" t="s">
        <v>543</v>
      </c>
      <c r="E116" s="161" t="s">
        <v>663</v>
      </c>
      <c r="F116" s="161" t="s">
        <v>664</v>
      </c>
      <c r="G116" s="161" t="s">
        <v>783</v>
      </c>
      <c r="H116" s="161" t="s">
        <v>784</v>
      </c>
    </row>
    <row r="117" spans="1:8" x14ac:dyDescent="0.4">
      <c r="A117" s="175"/>
      <c r="B117" s="175"/>
      <c r="C117" s="162"/>
      <c r="D117" s="163"/>
      <c r="E117" s="162"/>
      <c r="F117" s="163"/>
      <c r="G117" s="162"/>
      <c r="H117" s="163"/>
    </row>
    <row r="118" spans="1:8" ht="28.3" x14ac:dyDescent="0.4">
      <c r="A118" s="175"/>
      <c r="B118" s="175"/>
      <c r="C118" s="161" t="s">
        <v>544</v>
      </c>
      <c r="D118" s="161" t="s">
        <v>545</v>
      </c>
      <c r="E118" s="161" t="s">
        <v>665</v>
      </c>
      <c r="F118" s="161" t="s">
        <v>666</v>
      </c>
      <c r="G118" s="161" t="s">
        <v>785</v>
      </c>
      <c r="H118" s="161" t="s">
        <v>786</v>
      </c>
    </row>
    <row r="119" spans="1:8" x14ac:dyDescent="0.4">
      <c r="A119" s="175"/>
      <c r="B119" s="175"/>
      <c r="C119" s="162"/>
      <c r="D119" s="163"/>
      <c r="E119" s="162"/>
      <c r="F119" s="163"/>
      <c r="G119" s="162"/>
      <c r="H119" s="163"/>
    </row>
    <row r="120" spans="1:8" ht="28.3" x14ac:dyDescent="0.4">
      <c r="A120" s="175"/>
      <c r="B120" s="175"/>
      <c r="C120" s="161" t="s">
        <v>546</v>
      </c>
      <c r="D120" s="161" t="s">
        <v>547</v>
      </c>
      <c r="E120" s="161" t="s">
        <v>667</v>
      </c>
      <c r="F120" s="161" t="s">
        <v>668</v>
      </c>
      <c r="G120" s="161" t="s">
        <v>787</v>
      </c>
      <c r="H120" s="161" t="s">
        <v>788</v>
      </c>
    </row>
    <row r="121" spans="1:8" x14ac:dyDescent="0.4">
      <c r="A121" s="175"/>
      <c r="B121" s="175"/>
      <c r="C121" s="164"/>
      <c r="D121" s="165"/>
      <c r="E121" s="164"/>
      <c r="F121" s="165"/>
      <c r="G121" s="164"/>
      <c r="H121" s="165"/>
    </row>
  </sheetData>
  <mergeCells count="4">
    <mergeCell ref="A1:B121"/>
    <mergeCell ref="C1:D1"/>
    <mergeCell ref="E1:F1"/>
    <mergeCell ref="G1:H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7C8ECC-03A2-4475-8AE3-C57D9B8EB374}">
  <dimension ref="A1:G107"/>
  <sheetViews>
    <sheetView topLeftCell="A104" zoomScale="55" zoomScaleNormal="55" workbookViewId="0">
      <selection activeCell="J107" sqref="J107"/>
    </sheetView>
  </sheetViews>
  <sheetFormatPr defaultRowHeight="14.6" x14ac:dyDescent="0.4"/>
  <sheetData>
    <row r="1" spans="1:7" ht="60.45" x14ac:dyDescent="0.4">
      <c r="A1" s="143" t="s">
        <v>207</v>
      </c>
      <c r="B1" s="143" t="s">
        <v>68</v>
      </c>
      <c r="C1" s="143" t="s">
        <v>208</v>
      </c>
      <c r="D1" s="143" t="s">
        <v>209</v>
      </c>
      <c r="E1" s="143" t="s">
        <v>210</v>
      </c>
      <c r="F1" s="143" t="s">
        <v>211</v>
      </c>
      <c r="G1" s="143" t="s">
        <v>212</v>
      </c>
    </row>
    <row r="2" spans="1:7" ht="409.6" x14ac:dyDescent="0.4">
      <c r="A2" s="144">
        <v>500</v>
      </c>
      <c r="B2" s="146" t="s">
        <v>213</v>
      </c>
      <c r="C2" s="146" t="s">
        <v>214</v>
      </c>
      <c r="D2" s="144">
        <v>1984</v>
      </c>
      <c r="E2" s="144" t="s">
        <v>215</v>
      </c>
      <c r="F2" s="146" t="s">
        <v>216</v>
      </c>
      <c r="G2" s="144" t="s">
        <v>217</v>
      </c>
    </row>
    <row r="3" spans="1:7" ht="87.45" x14ac:dyDescent="0.4">
      <c r="A3" s="144" t="s">
        <v>218</v>
      </c>
      <c r="B3" s="146" t="s">
        <v>219</v>
      </c>
      <c r="C3" s="146" t="s">
        <v>220</v>
      </c>
      <c r="D3" s="144"/>
      <c r="E3" s="144" t="s">
        <v>215</v>
      </c>
      <c r="F3" s="144" t="s">
        <v>221</v>
      </c>
      <c r="G3" s="146" t="s">
        <v>222</v>
      </c>
    </row>
    <row r="4" spans="1:7" ht="100.75" x14ac:dyDescent="0.4">
      <c r="A4" s="148">
        <v>1480</v>
      </c>
      <c r="B4" s="144" t="s">
        <v>223</v>
      </c>
      <c r="C4" s="144" t="s">
        <v>224</v>
      </c>
      <c r="D4" s="144"/>
      <c r="E4" s="144"/>
      <c r="F4" s="144"/>
      <c r="G4" s="146" t="s">
        <v>225</v>
      </c>
    </row>
    <row r="5" spans="1:7" ht="20.149999999999999" x14ac:dyDescent="0.4">
      <c r="A5" s="149">
        <v>1486.6</v>
      </c>
      <c r="B5" s="146" t="s">
        <v>226</v>
      </c>
      <c r="C5" s="144" t="s">
        <v>227</v>
      </c>
      <c r="D5" s="144"/>
      <c r="E5" s="144"/>
      <c r="F5" s="144"/>
      <c r="G5" s="144"/>
    </row>
    <row r="6" spans="1:7" ht="40.299999999999997" x14ac:dyDescent="0.4">
      <c r="A6" s="148">
        <v>1524</v>
      </c>
      <c r="B6" s="144" t="s">
        <v>228</v>
      </c>
      <c r="C6" s="144" t="s">
        <v>229</v>
      </c>
      <c r="D6" s="144"/>
      <c r="E6" s="144"/>
      <c r="F6" s="144"/>
      <c r="G6" s="144"/>
    </row>
    <row r="7" spans="1:7" ht="349.75" x14ac:dyDescent="0.4">
      <c r="A7" s="149">
        <v>1609.3425999999999</v>
      </c>
      <c r="B7" s="144" t="s">
        <v>230</v>
      </c>
      <c r="C7" s="144" t="s">
        <v>231</v>
      </c>
      <c r="D7" s="144">
        <v>1592</v>
      </c>
      <c r="E7" s="144">
        <v>1959</v>
      </c>
      <c r="F7" s="144" t="s">
        <v>232</v>
      </c>
      <c r="G7" s="146" t="s">
        <v>233</v>
      </c>
    </row>
    <row r="8" spans="1:7" ht="409.6" x14ac:dyDescent="0.4">
      <c r="A8" s="150">
        <v>1609.3440000000001</v>
      </c>
      <c r="B8" s="151" t="s">
        <v>234</v>
      </c>
      <c r="C8" s="152" t="s">
        <v>235</v>
      </c>
      <c r="D8" s="151">
        <v>1959</v>
      </c>
      <c r="E8" s="151" t="s">
        <v>215</v>
      </c>
      <c r="F8" s="152" t="s">
        <v>236</v>
      </c>
      <c r="G8" s="151" t="s">
        <v>237</v>
      </c>
    </row>
    <row r="9" spans="1:7" ht="349.75" x14ac:dyDescent="0.4">
      <c r="A9" s="149">
        <v>1609.3471999999999</v>
      </c>
      <c r="B9" s="144" t="s">
        <v>230</v>
      </c>
      <c r="C9" s="144" t="s">
        <v>238</v>
      </c>
      <c r="D9" s="144">
        <v>1893</v>
      </c>
      <c r="E9" s="144">
        <v>2022</v>
      </c>
      <c r="F9" s="144" t="s">
        <v>232</v>
      </c>
      <c r="G9" s="146" t="s">
        <v>239</v>
      </c>
    </row>
    <row r="10" spans="1:7" ht="40.299999999999997" x14ac:dyDescent="0.4">
      <c r="A10" s="148">
        <v>1807</v>
      </c>
      <c r="B10" s="144" t="s">
        <v>240</v>
      </c>
      <c r="C10" s="144" t="s">
        <v>241</v>
      </c>
      <c r="D10" s="144"/>
      <c r="E10" s="144">
        <v>1685</v>
      </c>
      <c r="F10" s="144" t="s">
        <v>242</v>
      </c>
      <c r="G10" s="144"/>
    </row>
    <row r="11" spans="1:7" ht="20.149999999999999" x14ac:dyDescent="0.4">
      <c r="A11" s="148">
        <v>1820</v>
      </c>
      <c r="B11" s="144"/>
      <c r="C11" s="144" t="s">
        <v>243</v>
      </c>
      <c r="D11" s="144"/>
      <c r="E11" s="144"/>
      <c r="F11" s="144"/>
      <c r="G11" s="144"/>
    </row>
    <row r="12" spans="1:7" ht="261.89999999999998" x14ac:dyDescent="0.4">
      <c r="A12" s="153">
        <v>1852</v>
      </c>
      <c r="B12" s="152" t="s">
        <v>244</v>
      </c>
      <c r="C12" s="151" t="s">
        <v>245</v>
      </c>
      <c r="D12" s="151"/>
      <c r="E12" s="151" t="s">
        <v>215</v>
      </c>
      <c r="F12" s="151" t="s">
        <v>246</v>
      </c>
      <c r="G12" s="151" t="s">
        <v>247</v>
      </c>
    </row>
    <row r="13" spans="1:7" ht="100.75" x14ac:dyDescent="0.4">
      <c r="A13" s="154">
        <v>1852.3</v>
      </c>
      <c r="B13" s="155" t="s">
        <v>248</v>
      </c>
      <c r="C13" s="155"/>
      <c r="D13" s="155"/>
      <c r="E13" s="155"/>
      <c r="F13" s="155" t="s">
        <v>249</v>
      </c>
      <c r="G13" s="155"/>
    </row>
    <row r="14" spans="1:7" ht="60.45" x14ac:dyDescent="0.4">
      <c r="A14" s="149">
        <v>1853.181</v>
      </c>
      <c r="B14" s="144" t="s">
        <v>244</v>
      </c>
      <c r="C14" s="144" t="s">
        <v>250</v>
      </c>
      <c r="D14" s="144"/>
      <c r="E14" s="144"/>
      <c r="F14" s="144"/>
      <c r="G14" s="144"/>
    </row>
    <row r="15" spans="1:7" ht="409.6" x14ac:dyDescent="0.4">
      <c r="A15" s="154">
        <v>1855.4</v>
      </c>
      <c r="B15" s="155" t="s">
        <v>248</v>
      </c>
      <c r="C15" s="155"/>
      <c r="D15" s="155"/>
      <c r="E15" s="155"/>
      <c r="F15" s="155" t="s">
        <v>251</v>
      </c>
      <c r="G15" s="155" t="s">
        <v>252</v>
      </c>
    </row>
    <row r="16" spans="1:7" ht="40.299999999999997" x14ac:dyDescent="0.4">
      <c r="A16" s="148">
        <v>2065</v>
      </c>
      <c r="B16" s="144"/>
      <c r="C16" s="144" t="s">
        <v>253</v>
      </c>
      <c r="D16" s="144"/>
      <c r="E16" s="144"/>
      <c r="F16" s="144"/>
      <c r="G16" s="144"/>
    </row>
    <row r="17" spans="1:7" ht="409.6" x14ac:dyDescent="0.4">
      <c r="A17" s="148">
        <v>2220</v>
      </c>
      <c r="B17" s="144" t="s">
        <v>254</v>
      </c>
      <c r="C17" s="146" t="s">
        <v>255</v>
      </c>
      <c r="D17" s="144"/>
      <c r="E17" s="144"/>
      <c r="F17" s="144" t="s">
        <v>256</v>
      </c>
      <c r="G17" s="144" t="s">
        <v>257</v>
      </c>
    </row>
    <row r="18" spans="1:7" ht="80.599999999999994" x14ac:dyDescent="0.4">
      <c r="A18" s="148">
        <v>2470</v>
      </c>
      <c r="B18" s="144"/>
      <c r="C18" s="144" t="s">
        <v>258</v>
      </c>
      <c r="D18" s="144"/>
      <c r="E18" s="144"/>
      <c r="F18" s="144"/>
      <c r="G18" s="144"/>
    </row>
    <row r="19" spans="1:7" ht="40.299999999999997" x14ac:dyDescent="0.4">
      <c r="A19" s="148">
        <v>2622</v>
      </c>
      <c r="B19" s="144"/>
      <c r="C19" s="144" t="s">
        <v>241</v>
      </c>
      <c r="D19" s="144"/>
      <c r="E19" s="144"/>
      <c r="F19" s="144"/>
      <c r="G19" s="144"/>
    </row>
    <row r="20" spans="1:7" ht="40.299999999999997" x14ac:dyDescent="0.4">
      <c r="A20" s="148">
        <v>2880</v>
      </c>
      <c r="B20" s="144"/>
      <c r="C20" s="144" t="s">
        <v>259</v>
      </c>
      <c r="D20" s="144"/>
      <c r="E20" s="144"/>
      <c r="F20" s="144"/>
      <c r="G20" s="144"/>
    </row>
    <row r="21" spans="1:7" ht="40.299999999999997" x14ac:dyDescent="0.4">
      <c r="A21" s="148">
        <v>3780</v>
      </c>
      <c r="B21" s="144"/>
      <c r="C21" s="144" t="s">
        <v>260</v>
      </c>
      <c r="D21" s="144"/>
      <c r="E21" s="144"/>
      <c r="F21" s="144"/>
      <c r="G21" s="144"/>
    </row>
    <row r="22" spans="1:7" ht="120.9" x14ac:dyDescent="0.4">
      <c r="A22" s="148">
        <v>3898</v>
      </c>
      <c r="B22" s="144" t="s">
        <v>261</v>
      </c>
      <c r="C22" s="144" t="s">
        <v>262</v>
      </c>
      <c r="D22" s="144"/>
      <c r="E22" s="144"/>
      <c r="F22" s="144" t="s">
        <v>263</v>
      </c>
      <c r="G22" s="144"/>
    </row>
    <row r="23" spans="1:7" ht="29.15" x14ac:dyDescent="0.4">
      <c r="A23" s="148">
        <v>3927</v>
      </c>
      <c r="B23" s="145" t="s">
        <v>264</v>
      </c>
      <c r="C23" s="144" t="s">
        <v>265</v>
      </c>
      <c r="D23" s="144"/>
      <c r="E23" s="144"/>
      <c r="F23" s="146" t="s">
        <v>266</v>
      </c>
      <c r="G23" s="144"/>
    </row>
    <row r="24" spans="1:7" ht="120.9" x14ac:dyDescent="0.4">
      <c r="A24" s="148">
        <v>4000</v>
      </c>
      <c r="B24" s="156" t="s">
        <v>267</v>
      </c>
      <c r="C24" s="144"/>
      <c r="D24" s="144"/>
      <c r="E24" s="144"/>
      <c r="F24" s="144"/>
      <c r="G24" s="144"/>
    </row>
    <row r="25" spans="1:7" ht="40.299999999999997" x14ac:dyDescent="0.4">
      <c r="A25" s="148">
        <v>4000</v>
      </c>
      <c r="B25" s="144" t="s">
        <v>268</v>
      </c>
      <c r="C25" s="144" t="s">
        <v>269</v>
      </c>
      <c r="D25" s="144"/>
      <c r="E25" s="144"/>
      <c r="F25" s="144"/>
      <c r="G25" s="142"/>
    </row>
    <row r="26" spans="1:7" ht="120.9" x14ac:dyDescent="0.4">
      <c r="A26" s="148">
        <v>4190</v>
      </c>
      <c r="B26" s="144" t="s">
        <v>268</v>
      </c>
      <c r="C26" s="146" t="s">
        <v>270</v>
      </c>
      <c r="D26" s="144"/>
      <c r="E26" s="144"/>
      <c r="F26" s="144" t="s">
        <v>271</v>
      </c>
      <c r="G26" s="144"/>
    </row>
    <row r="27" spans="1:7" ht="100.75" x14ac:dyDescent="0.4">
      <c r="A27" s="144" t="s">
        <v>272</v>
      </c>
      <c r="B27" s="144" t="s">
        <v>273</v>
      </c>
      <c r="C27" s="144"/>
      <c r="D27" s="144"/>
      <c r="E27" s="144"/>
      <c r="F27" s="157" t="s">
        <v>274</v>
      </c>
      <c r="G27" s="144"/>
    </row>
    <row r="28" spans="1:7" ht="261.89999999999998" x14ac:dyDescent="0.4">
      <c r="A28" s="149">
        <v>4452.2</v>
      </c>
      <c r="B28" s="144" t="s">
        <v>275</v>
      </c>
      <c r="C28" s="144" t="s">
        <v>262</v>
      </c>
      <c r="D28" s="144"/>
      <c r="E28" s="144"/>
      <c r="F28" s="144"/>
      <c r="G28" s="147" t="s">
        <v>276</v>
      </c>
    </row>
    <row r="29" spans="1:7" ht="40.299999999999997" x14ac:dyDescent="0.4">
      <c r="A29" s="148">
        <v>4513</v>
      </c>
      <c r="B29" s="144" t="s">
        <v>268</v>
      </c>
      <c r="C29" s="144" t="s">
        <v>277</v>
      </c>
      <c r="D29" s="144"/>
      <c r="E29" s="144"/>
      <c r="F29" s="144"/>
      <c r="G29" s="144"/>
    </row>
    <row r="30" spans="1:7" ht="100.75" x14ac:dyDescent="0.4">
      <c r="A30" s="148">
        <v>4513</v>
      </c>
      <c r="B30" s="144" t="s">
        <v>278</v>
      </c>
      <c r="C30" s="146" t="s">
        <v>279</v>
      </c>
      <c r="D30" s="144"/>
      <c r="E30" s="144"/>
      <c r="F30" s="144" t="s">
        <v>280</v>
      </c>
      <c r="G30" s="144"/>
    </row>
    <row r="31" spans="1:7" ht="60.45" x14ac:dyDescent="0.4">
      <c r="A31" s="144" t="s">
        <v>281</v>
      </c>
      <c r="B31" s="144"/>
      <c r="C31" s="144" t="s">
        <v>282</v>
      </c>
      <c r="D31" s="144"/>
      <c r="E31" s="144"/>
      <c r="F31" s="144"/>
      <c r="G31" s="144"/>
    </row>
    <row r="32" spans="1:7" ht="100.75" x14ac:dyDescent="0.4">
      <c r="A32" s="148">
        <v>4828</v>
      </c>
      <c r="B32" s="144" t="s">
        <v>283</v>
      </c>
      <c r="C32" s="144" t="s">
        <v>229</v>
      </c>
      <c r="D32" s="144"/>
      <c r="E32" s="144"/>
      <c r="F32" s="144" t="s">
        <v>284</v>
      </c>
      <c r="G32" s="144"/>
    </row>
    <row r="33" spans="1:7" ht="120.9" x14ac:dyDescent="0.4">
      <c r="A33" s="148">
        <v>4800</v>
      </c>
      <c r="B33" s="144" t="s">
        <v>285</v>
      </c>
      <c r="C33" s="179"/>
      <c r="D33" s="179"/>
      <c r="E33" s="179"/>
      <c r="F33" s="179"/>
      <c r="G33" s="179"/>
    </row>
    <row r="34" spans="1:7" ht="80.599999999999994" x14ac:dyDescent="0.4">
      <c r="A34" s="148">
        <v>4900</v>
      </c>
      <c r="B34" s="144" t="s">
        <v>286</v>
      </c>
      <c r="C34" s="179"/>
      <c r="D34" s="179"/>
      <c r="E34" s="179"/>
      <c r="F34" s="179"/>
      <c r="G34" s="179"/>
    </row>
    <row r="35" spans="1:7" ht="40.299999999999997" x14ac:dyDescent="0.4">
      <c r="A35" s="148">
        <v>5000</v>
      </c>
      <c r="B35" s="144" t="s">
        <v>287</v>
      </c>
      <c r="C35" s="146" t="s">
        <v>288</v>
      </c>
      <c r="D35" s="144"/>
      <c r="E35" s="144"/>
      <c r="F35" s="144"/>
      <c r="G35" s="144"/>
    </row>
    <row r="36" spans="1:7" ht="40.299999999999997" x14ac:dyDescent="0.4">
      <c r="A36" s="148">
        <v>5196</v>
      </c>
      <c r="B36" s="144" t="s">
        <v>278</v>
      </c>
      <c r="C36" s="146" t="s">
        <v>289</v>
      </c>
      <c r="D36" s="144"/>
      <c r="E36" s="144"/>
      <c r="F36" s="144" t="s">
        <v>290</v>
      </c>
      <c r="G36" s="144"/>
    </row>
    <row r="37" spans="1:7" ht="60.45" x14ac:dyDescent="0.4">
      <c r="A37" s="144" t="s">
        <v>291</v>
      </c>
      <c r="B37" s="144" t="s">
        <v>292</v>
      </c>
      <c r="C37" s="146" t="s">
        <v>293</v>
      </c>
      <c r="D37" s="144"/>
      <c r="E37" s="144"/>
      <c r="F37" s="144" t="s">
        <v>294</v>
      </c>
      <c r="G37" s="144"/>
    </row>
    <row r="38" spans="1:7" ht="40.299999999999997" x14ac:dyDescent="0.4">
      <c r="A38" s="144" t="s">
        <v>295</v>
      </c>
      <c r="B38" s="144" t="s">
        <v>268</v>
      </c>
      <c r="C38" s="144" t="s">
        <v>296</v>
      </c>
      <c r="D38" s="144"/>
      <c r="E38" s="144"/>
      <c r="F38" s="144"/>
      <c r="G38" s="144"/>
    </row>
    <row r="39" spans="1:7" ht="60.45" x14ac:dyDescent="0.4">
      <c r="A39" s="148">
        <v>5200</v>
      </c>
      <c r="B39" s="144" t="s">
        <v>297</v>
      </c>
      <c r="C39" s="144" t="s">
        <v>298</v>
      </c>
      <c r="D39" s="144"/>
      <c r="E39" s="144"/>
      <c r="F39" s="144"/>
      <c r="G39" s="144"/>
    </row>
    <row r="40" spans="1:7" ht="40.299999999999997" x14ac:dyDescent="0.4">
      <c r="A40" s="148">
        <v>5370</v>
      </c>
      <c r="B40" s="144" t="s">
        <v>268</v>
      </c>
      <c r="C40" s="144" t="s">
        <v>299</v>
      </c>
      <c r="D40" s="144"/>
      <c r="E40" s="144"/>
      <c r="F40" s="144"/>
      <c r="G40" s="144"/>
    </row>
    <row r="41" spans="1:7" ht="60.45" x14ac:dyDescent="0.4">
      <c r="A41" s="148">
        <v>5500</v>
      </c>
      <c r="B41" s="144" t="s">
        <v>300</v>
      </c>
      <c r="C41" s="144" t="s">
        <v>253</v>
      </c>
      <c r="D41" s="144"/>
      <c r="E41" s="144"/>
      <c r="F41" s="144"/>
      <c r="G41" s="144"/>
    </row>
    <row r="42" spans="1:7" ht="40.299999999999997" x14ac:dyDescent="0.4">
      <c r="A42" s="148">
        <v>5510</v>
      </c>
      <c r="B42" s="144" t="s">
        <v>268</v>
      </c>
      <c r="C42" s="144" t="s">
        <v>301</v>
      </c>
      <c r="D42" s="144"/>
      <c r="E42" s="144"/>
      <c r="F42" s="144"/>
      <c r="G42" s="144"/>
    </row>
    <row r="43" spans="1:7" ht="60.45" x14ac:dyDescent="0.4">
      <c r="A43" s="148">
        <v>5510</v>
      </c>
      <c r="B43" s="144" t="s">
        <v>302</v>
      </c>
      <c r="C43" s="144" t="s">
        <v>301</v>
      </c>
      <c r="D43" s="144"/>
      <c r="E43" s="144"/>
      <c r="F43" s="144"/>
      <c r="G43" s="144"/>
    </row>
    <row r="44" spans="1:7" ht="73.75" customHeight="1" x14ac:dyDescent="0.4">
      <c r="A44" s="180">
        <v>5532.5</v>
      </c>
      <c r="B44" s="144" t="s">
        <v>303</v>
      </c>
      <c r="C44" s="179" t="s">
        <v>305</v>
      </c>
      <c r="D44" s="179"/>
      <c r="E44" s="179"/>
      <c r="F44" s="179"/>
      <c r="G44" s="177" t="s">
        <v>306</v>
      </c>
    </row>
    <row r="45" spans="1:7" ht="60.45" x14ac:dyDescent="0.4">
      <c r="A45" s="180"/>
      <c r="B45" s="144" t="s">
        <v>304</v>
      </c>
      <c r="C45" s="179"/>
      <c r="D45" s="179"/>
      <c r="E45" s="179"/>
      <c r="F45" s="179"/>
      <c r="G45" s="177"/>
    </row>
    <row r="46" spans="1:7" ht="40.299999999999997" x14ac:dyDescent="0.4">
      <c r="A46" s="148">
        <v>5540</v>
      </c>
      <c r="B46" s="144" t="s">
        <v>268</v>
      </c>
      <c r="C46" s="144" t="s">
        <v>307</v>
      </c>
      <c r="D46" s="144"/>
      <c r="E46" s="144"/>
      <c r="F46" s="144"/>
      <c r="G46" s="144"/>
    </row>
    <row r="47" spans="1:7" ht="100.75" x14ac:dyDescent="0.4">
      <c r="A47" s="178">
        <v>5556</v>
      </c>
      <c r="B47" s="179" t="s">
        <v>308</v>
      </c>
      <c r="C47" s="179"/>
      <c r="D47" s="179"/>
      <c r="E47" s="179"/>
      <c r="F47" s="157" t="s">
        <v>309</v>
      </c>
      <c r="G47" s="179"/>
    </row>
    <row r="48" spans="1:7" ht="29.15" x14ac:dyDescent="0.4">
      <c r="A48" s="178"/>
      <c r="B48" s="179"/>
      <c r="C48" s="179"/>
      <c r="D48" s="179"/>
      <c r="E48" s="179"/>
      <c r="F48" s="146" t="s">
        <v>310</v>
      </c>
      <c r="G48" s="179"/>
    </row>
    <row r="49" spans="1:7" ht="100.75" x14ac:dyDescent="0.4">
      <c r="A49" s="148">
        <v>5570</v>
      </c>
      <c r="B49" s="144" t="s">
        <v>278</v>
      </c>
      <c r="C49" s="144" t="s">
        <v>311</v>
      </c>
      <c r="D49" s="144"/>
      <c r="E49" s="144"/>
      <c r="F49" s="144"/>
      <c r="G49" s="147" t="s">
        <v>312</v>
      </c>
    </row>
    <row r="50" spans="1:7" ht="40.299999999999997" x14ac:dyDescent="0.4">
      <c r="A50" s="148">
        <v>5572</v>
      </c>
      <c r="B50" s="144" t="s">
        <v>278</v>
      </c>
      <c r="C50" s="146" t="s">
        <v>313</v>
      </c>
      <c r="D50" s="144"/>
      <c r="E50" s="144"/>
      <c r="F50" s="144" t="s">
        <v>314</v>
      </c>
      <c r="G50" s="144"/>
    </row>
    <row r="51" spans="1:7" ht="60.45" x14ac:dyDescent="0.4">
      <c r="A51" s="144" t="s">
        <v>315</v>
      </c>
      <c r="B51" s="144" t="s">
        <v>268</v>
      </c>
      <c r="C51" s="146" t="s">
        <v>316</v>
      </c>
      <c r="D51" s="144"/>
      <c r="E51" s="144"/>
      <c r="F51" s="144" t="s">
        <v>317</v>
      </c>
      <c r="G51" s="142"/>
    </row>
    <row r="52" spans="1:7" ht="36.9" customHeight="1" x14ac:dyDescent="0.4">
      <c r="A52" s="179" t="s">
        <v>315</v>
      </c>
      <c r="B52" s="144" t="s">
        <v>318</v>
      </c>
      <c r="C52" s="181" t="s">
        <v>320</v>
      </c>
      <c r="D52" s="179"/>
      <c r="E52" s="179"/>
      <c r="F52" s="179" t="s">
        <v>321</v>
      </c>
      <c r="G52" s="179"/>
    </row>
    <row r="53" spans="1:7" ht="60.45" x14ac:dyDescent="0.4">
      <c r="A53" s="179"/>
      <c r="B53" s="144" t="s">
        <v>319</v>
      </c>
      <c r="C53" s="181"/>
      <c r="D53" s="179"/>
      <c r="E53" s="179"/>
      <c r="F53" s="179"/>
      <c r="G53" s="179"/>
    </row>
    <row r="54" spans="1:7" ht="141" x14ac:dyDescent="0.4">
      <c r="A54" s="144" t="s">
        <v>322</v>
      </c>
      <c r="B54" s="144" t="s">
        <v>323</v>
      </c>
      <c r="C54" s="146" t="s">
        <v>324</v>
      </c>
      <c r="D54" s="144"/>
      <c r="E54" s="144"/>
      <c r="F54" s="144" t="s">
        <v>325</v>
      </c>
      <c r="G54" s="144"/>
    </row>
    <row r="55" spans="1:7" ht="60.45" x14ac:dyDescent="0.4">
      <c r="A55" s="144" t="s">
        <v>326</v>
      </c>
      <c r="B55" s="144" t="s">
        <v>327</v>
      </c>
      <c r="C55" s="144" t="s">
        <v>328</v>
      </c>
      <c r="D55" s="144"/>
      <c r="E55" s="144"/>
      <c r="F55" s="144"/>
      <c r="G55" s="144"/>
    </row>
    <row r="56" spans="1:7" ht="80.599999999999994" x14ac:dyDescent="0.4">
      <c r="A56" s="148">
        <v>5685</v>
      </c>
      <c r="B56" s="146" t="s">
        <v>329</v>
      </c>
      <c r="C56" s="144" t="s">
        <v>330</v>
      </c>
      <c r="D56" s="144"/>
      <c r="E56" s="144">
        <v>1933</v>
      </c>
      <c r="F56" s="144" t="s">
        <v>331</v>
      </c>
      <c r="G56" s="146" t="s">
        <v>332</v>
      </c>
    </row>
    <row r="57" spans="1:7" ht="40.299999999999997" x14ac:dyDescent="0.4">
      <c r="A57" s="146" t="s">
        <v>333</v>
      </c>
      <c r="B57" s="144" t="s">
        <v>334</v>
      </c>
      <c r="C57" s="144" t="s">
        <v>335</v>
      </c>
      <c r="D57" s="144"/>
      <c r="E57" s="144"/>
      <c r="F57" s="144"/>
      <c r="G57" s="144"/>
    </row>
    <row r="58" spans="1:7" ht="221.6" x14ac:dyDescent="0.4">
      <c r="A58" s="148">
        <v>6170</v>
      </c>
      <c r="B58" s="144" t="s">
        <v>336</v>
      </c>
      <c r="C58" s="144" t="s">
        <v>337</v>
      </c>
      <c r="D58" s="144"/>
      <c r="E58" s="144" t="s">
        <v>338</v>
      </c>
      <c r="F58" s="144" t="s">
        <v>339</v>
      </c>
      <c r="G58" s="144" t="s">
        <v>340</v>
      </c>
    </row>
    <row r="59" spans="1:7" ht="100.75" x14ac:dyDescent="0.4">
      <c r="A59" s="148">
        <v>6197</v>
      </c>
      <c r="B59" s="144" t="s">
        <v>341</v>
      </c>
      <c r="C59" s="146" t="s">
        <v>288</v>
      </c>
      <c r="D59" s="144"/>
      <c r="E59" s="144"/>
      <c r="F59" s="144" t="s">
        <v>342</v>
      </c>
      <c r="G59" s="144"/>
    </row>
    <row r="60" spans="1:7" ht="60.45" x14ac:dyDescent="0.4">
      <c r="A60" s="144" t="s">
        <v>343</v>
      </c>
      <c r="B60" s="144" t="s">
        <v>344</v>
      </c>
      <c r="C60" s="144" t="s">
        <v>345</v>
      </c>
      <c r="D60" s="144"/>
      <c r="E60" s="144"/>
      <c r="F60" s="144"/>
      <c r="G60" s="144"/>
    </row>
    <row r="61" spans="1:7" ht="60.45" x14ac:dyDescent="0.4">
      <c r="A61" s="148">
        <v>6277</v>
      </c>
      <c r="B61" s="144"/>
      <c r="C61" s="144" t="s">
        <v>346</v>
      </c>
      <c r="D61" s="144"/>
      <c r="E61" s="144"/>
      <c r="F61" s="144"/>
      <c r="G61" s="144"/>
    </row>
    <row r="62" spans="1:7" ht="40.299999999999997" x14ac:dyDescent="0.4">
      <c r="A62" s="148">
        <v>6280</v>
      </c>
      <c r="B62" s="144"/>
      <c r="C62" s="144" t="s">
        <v>347</v>
      </c>
      <c r="D62" s="144"/>
      <c r="E62" s="144"/>
      <c r="F62" s="144"/>
      <c r="G62" s="144"/>
    </row>
    <row r="63" spans="1:7" ht="40.299999999999997" x14ac:dyDescent="0.4">
      <c r="A63" s="180">
        <v>6687.24</v>
      </c>
      <c r="B63" s="144" t="s">
        <v>348</v>
      </c>
      <c r="C63" s="181" t="s">
        <v>320</v>
      </c>
      <c r="D63" s="179"/>
      <c r="E63" s="179"/>
      <c r="F63" s="179" t="s">
        <v>350</v>
      </c>
      <c r="G63" s="179"/>
    </row>
    <row r="64" spans="1:7" ht="100.75" x14ac:dyDescent="0.4">
      <c r="A64" s="180"/>
      <c r="B64" s="144" t="s">
        <v>349</v>
      </c>
      <c r="C64" s="181"/>
      <c r="D64" s="179"/>
      <c r="E64" s="179"/>
      <c r="F64" s="179"/>
      <c r="G64" s="179"/>
    </row>
    <row r="65" spans="1:7" ht="181.3" x14ac:dyDescent="0.4">
      <c r="A65" s="144" t="s">
        <v>351</v>
      </c>
      <c r="B65" s="144" t="s">
        <v>352</v>
      </c>
      <c r="C65" s="144" t="s">
        <v>353</v>
      </c>
      <c r="D65" s="144">
        <v>1630</v>
      </c>
      <c r="E65" s="144">
        <v>1872</v>
      </c>
      <c r="F65" s="144"/>
      <c r="G65" s="144" t="s">
        <v>354</v>
      </c>
    </row>
    <row r="66" spans="1:7" ht="55.3" customHeight="1" x14ac:dyDescent="0.4">
      <c r="A66" s="178">
        <v>6797</v>
      </c>
      <c r="B66" s="156" t="s">
        <v>355</v>
      </c>
      <c r="C66" s="179" t="s">
        <v>357</v>
      </c>
      <c r="D66" s="179"/>
      <c r="E66" s="179"/>
      <c r="F66" s="179"/>
      <c r="G66" s="177" t="s">
        <v>306</v>
      </c>
    </row>
    <row r="67" spans="1:7" ht="80.599999999999994" x14ac:dyDescent="0.4">
      <c r="A67" s="178"/>
      <c r="B67" s="144" t="s">
        <v>356</v>
      </c>
      <c r="C67" s="179"/>
      <c r="D67" s="179"/>
      <c r="E67" s="179"/>
      <c r="F67" s="179"/>
      <c r="G67" s="177"/>
    </row>
    <row r="68" spans="1:7" ht="40.299999999999997" x14ac:dyDescent="0.4">
      <c r="A68" s="148">
        <v>7400</v>
      </c>
      <c r="B68" s="144"/>
      <c r="C68" s="144" t="s">
        <v>358</v>
      </c>
      <c r="D68" s="144"/>
      <c r="E68" s="144"/>
      <c r="F68" s="144"/>
      <c r="G68" s="144"/>
    </row>
    <row r="69" spans="1:7" ht="100.75" x14ac:dyDescent="0.4">
      <c r="A69" s="158">
        <v>7409</v>
      </c>
      <c r="B69" s="155" t="s">
        <v>248</v>
      </c>
      <c r="C69" s="155"/>
      <c r="D69" s="155"/>
      <c r="E69" s="155"/>
      <c r="F69" s="155" t="s">
        <v>359</v>
      </c>
      <c r="G69" s="155"/>
    </row>
    <row r="70" spans="1:7" ht="181.3" x14ac:dyDescent="0.4">
      <c r="A70" s="149">
        <v>7419.2</v>
      </c>
      <c r="B70" s="144"/>
      <c r="C70" s="144" t="s">
        <v>360</v>
      </c>
      <c r="D70" s="144"/>
      <c r="E70" s="144"/>
      <c r="F70" s="144"/>
      <c r="G70" s="147" t="s">
        <v>306</v>
      </c>
    </row>
    <row r="71" spans="1:7" ht="181.3" x14ac:dyDescent="0.4">
      <c r="A71" s="149">
        <v>7419.4</v>
      </c>
      <c r="B71" s="144"/>
      <c r="C71" s="144" t="s">
        <v>361</v>
      </c>
      <c r="D71" s="144"/>
      <c r="E71" s="144"/>
      <c r="F71" s="144"/>
      <c r="G71" s="147" t="s">
        <v>306</v>
      </c>
    </row>
    <row r="72" spans="1:7" ht="92.15" customHeight="1" x14ac:dyDescent="0.4">
      <c r="A72" s="149">
        <v>7420.4</v>
      </c>
      <c r="B72" s="179"/>
      <c r="C72" s="179" t="s">
        <v>362</v>
      </c>
      <c r="D72" s="179"/>
      <c r="E72" s="179"/>
      <c r="F72" s="179"/>
      <c r="G72" s="177" t="s">
        <v>306</v>
      </c>
    </row>
    <row r="73" spans="1:7" ht="20.149999999999999" x14ac:dyDescent="0.4">
      <c r="A73" s="149">
        <v>7414.9</v>
      </c>
      <c r="B73" s="179"/>
      <c r="C73" s="179"/>
      <c r="D73" s="179"/>
      <c r="E73" s="179"/>
      <c r="F73" s="179"/>
      <c r="G73" s="177"/>
    </row>
    <row r="74" spans="1:7" ht="65.599999999999994" x14ac:dyDescent="0.4">
      <c r="A74" s="149">
        <v>7420.4390000000003</v>
      </c>
      <c r="B74" s="144" t="s">
        <v>363</v>
      </c>
      <c r="C74" s="144"/>
      <c r="D74" s="144"/>
      <c r="E74" s="144"/>
      <c r="F74" s="157" t="s">
        <v>364</v>
      </c>
      <c r="G74" s="144"/>
    </row>
    <row r="75" spans="1:7" ht="100.75" x14ac:dyDescent="0.4">
      <c r="A75" s="154">
        <v>7421.6</v>
      </c>
      <c r="B75" s="155" t="s">
        <v>248</v>
      </c>
      <c r="C75" s="155"/>
      <c r="D75" s="155"/>
      <c r="E75" s="155"/>
      <c r="F75" s="155" t="s">
        <v>365</v>
      </c>
      <c r="G75" s="155"/>
    </row>
    <row r="76" spans="1:7" ht="181.3" x14ac:dyDescent="0.4">
      <c r="A76" s="149">
        <v>7448.7</v>
      </c>
      <c r="B76" s="144"/>
      <c r="C76" s="144" t="s">
        <v>366</v>
      </c>
      <c r="D76" s="144"/>
      <c r="E76" s="144"/>
      <c r="F76" s="144"/>
      <c r="G76" s="147" t="s">
        <v>306</v>
      </c>
    </row>
    <row r="77" spans="1:7" ht="181.3" x14ac:dyDescent="0.4">
      <c r="A77" s="148">
        <v>7450</v>
      </c>
      <c r="B77" s="144"/>
      <c r="C77" s="144" t="s">
        <v>367</v>
      </c>
      <c r="D77" s="144"/>
      <c r="E77" s="144"/>
      <c r="F77" s="144"/>
      <c r="G77" s="147" t="s">
        <v>306</v>
      </c>
    </row>
    <row r="78" spans="1:7" ht="181.3" x14ac:dyDescent="0.4">
      <c r="A78" s="149">
        <v>7467.6</v>
      </c>
      <c r="B78" s="144"/>
      <c r="C78" s="144" t="s">
        <v>368</v>
      </c>
      <c r="D78" s="144"/>
      <c r="E78" s="144"/>
      <c r="F78" s="144" t="s">
        <v>369</v>
      </c>
      <c r="G78" s="147" t="s">
        <v>370</v>
      </c>
    </row>
    <row r="79" spans="1:7" ht="40.299999999999997" x14ac:dyDescent="0.4">
      <c r="A79" s="148">
        <v>7480</v>
      </c>
      <c r="B79" s="144"/>
      <c r="C79" s="144" t="s">
        <v>371</v>
      </c>
      <c r="D79" s="144"/>
      <c r="E79" s="144"/>
      <c r="F79" s="144"/>
      <c r="G79" s="144"/>
    </row>
    <row r="80" spans="1:7" ht="239.6" customHeight="1" x14ac:dyDescent="0.4">
      <c r="A80" s="178">
        <v>7500</v>
      </c>
      <c r="B80" s="144" t="s">
        <v>372</v>
      </c>
      <c r="C80" s="179" t="s">
        <v>357</v>
      </c>
      <c r="D80" s="179"/>
      <c r="E80" s="179">
        <v>1840</v>
      </c>
      <c r="F80" s="179"/>
      <c r="G80" s="177" t="s">
        <v>374</v>
      </c>
    </row>
    <row r="81" spans="1:7" ht="80.599999999999994" x14ac:dyDescent="0.4">
      <c r="A81" s="178"/>
      <c r="B81" s="144" t="s">
        <v>373</v>
      </c>
      <c r="C81" s="179"/>
      <c r="D81" s="179"/>
      <c r="E81" s="179"/>
      <c r="F81" s="179"/>
      <c r="G81" s="177"/>
    </row>
    <row r="82" spans="1:7" ht="184.3" customHeight="1" x14ac:dyDescent="0.4">
      <c r="A82" s="180">
        <v>7532.5</v>
      </c>
      <c r="B82" s="144" t="s">
        <v>375</v>
      </c>
      <c r="C82" s="181" t="s">
        <v>377</v>
      </c>
      <c r="D82" s="179"/>
      <c r="E82" s="179"/>
      <c r="F82" s="179"/>
      <c r="G82" s="179" t="s">
        <v>378</v>
      </c>
    </row>
    <row r="83" spans="1:7" ht="80.599999999999994" x14ac:dyDescent="0.4">
      <c r="A83" s="180"/>
      <c r="B83" s="144" t="s">
        <v>376</v>
      </c>
      <c r="C83" s="181"/>
      <c r="D83" s="179"/>
      <c r="E83" s="179"/>
      <c r="F83" s="179"/>
      <c r="G83" s="179"/>
    </row>
    <row r="84" spans="1:7" ht="55.3" customHeight="1" x14ac:dyDescent="0.4">
      <c r="A84" s="180">
        <v>7585.9</v>
      </c>
      <c r="B84" s="144" t="s">
        <v>379</v>
      </c>
      <c r="C84" s="179" t="s">
        <v>381</v>
      </c>
      <c r="D84" s="179"/>
      <c r="E84" s="179"/>
      <c r="F84" s="179"/>
      <c r="G84" s="177" t="s">
        <v>382</v>
      </c>
    </row>
    <row r="85" spans="1:7" ht="40.299999999999997" x14ac:dyDescent="0.4">
      <c r="A85" s="180"/>
      <c r="B85" s="144" t="s">
        <v>380</v>
      </c>
      <c r="C85" s="179"/>
      <c r="D85" s="179"/>
      <c r="E85" s="179"/>
      <c r="F85" s="179"/>
      <c r="G85" s="177"/>
    </row>
    <row r="86" spans="1:7" ht="40.299999999999997" x14ac:dyDescent="0.4">
      <c r="A86" s="148">
        <v>7850</v>
      </c>
      <c r="B86" s="144" t="s">
        <v>383</v>
      </c>
      <c r="C86" s="144" t="s">
        <v>384</v>
      </c>
      <c r="D86" s="144"/>
      <c r="E86" s="144"/>
      <c r="F86" s="144"/>
      <c r="G86" s="144"/>
    </row>
    <row r="87" spans="1:7" ht="201.45" x14ac:dyDescent="0.4">
      <c r="A87" s="149">
        <v>8534.31</v>
      </c>
      <c r="B87" s="144" t="s">
        <v>385</v>
      </c>
      <c r="C87" s="144" t="s">
        <v>386</v>
      </c>
      <c r="D87" s="144">
        <v>1819</v>
      </c>
      <c r="E87" s="144"/>
      <c r="F87" s="144"/>
      <c r="G87" s="144" t="s">
        <v>387</v>
      </c>
    </row>
    <row r="88" spans="1:7" ht="181.3" x14ac:dyDescent="0.4">
      <c r="A88" s="148">
        <v>8800</v>
      </c>
      <c r="B88" s="144"/>
      <c r="C88" s="144" t="s">
        <v>388</v>
      </c>
      <c r="D88" s="144"/>
      <c r="E88" s="144"/>
      <c r="F88" s="144"/>
      <c r="G88" s="147" t="s">
        <v>306</v>
      </c>
    </row>
    <row r="89" spans="1:7" ht="181.3" x14ac:dyDescent="0.4">
      <c r="A89" s="149">
        <v>8888.89</v>
      </c>
      <c r="B89" s="144"/>
      <c r="C89" s="144" t="s">
        <v>389</v>
      </c>
      <c r="D89" s="144"/>
      <c r="E89" s="144"/>
      <c r="F89" s="144"/>
      <c r="G89" s="147" t="s">
        <v>306</v>
      </c>
    </row>
    <row r="90" spans="1:7" ht="120.9" x14ac:dyDescent="0.4">
      <c r="A90" s="178">
        <v>9062</v>
      </c>
      <c r="B90" s="144" t="s">
        <v>390</v>
      </c>
      <c r="C90" s="179" t="s">
        <v>357</v>
      </c>
      <c r="D90" s="179"/>
      <c r="E90" s="179">
        <v>1722</v>
      </c>
      <c r="F90" s="179"/>
      <c r="G90" s="177" t="s">
        <v>306</v>
      </c>
    </row>
    <row r="91" spans="1:7" ht="141" x14ac:dyDescent="0.4">
      <c r="A91" s="178"/>
      <c r="B91" s="144" t="s">
        <v>391</v>
      </c>
      <c r="C91" s="179"/>
      <c r="D91" s="179"/>
      <c r="E91" s="179"/>
      <c r="F91" s="179"/>
      <c r="G91" s="177"/>
    </row>
    <row r="92" spans="1:7" ht="181.3" x14ac:dyDescent="0.4">
      <c r="A92" s="149">
        <v>9206.2999999999993</v>
      </c>
      <c r="B92" s="144"/>
      <c r="C92" s="144" t="s">
        <v>392</v>
      </c>
      <c r="D92" s="144"/>
      <c r="E92" s="144"/>
      <c r="F92" s="144"/>
      <c r="G92" s="147" t="s">
        <v>306</v>
      </c>
    </row>
    <row r="93" spans="1:7" ht="100.75" x14ac:dyDescent="0.4">
      <c r="A93" s="154">
        <v>9261.4</v>
      </c>
      <c r="B93" s="155" t="s">
        <v>248</v>
      </c>
      <c r="C93" s="155"/>
      <c r="D93" s="155"/>
      <c r="E93" s="155"/>
      <c r="F93" s="155" t="s">
        <v>393</v>
      </c>
      <c r="G93" s="155"/>
    </row>
    <row r="94" spans="1:7" ht="100.75" x14ac:dyDescent="0.4">
      <c r="A94" s="158">
        <v>9277</v>
      </c>
      <c r="B94" s="155" t="s">
        <v>248</v>
      </c>
      <c r="C94" s="155"/>
      <c r="D94" s="155"/>
      <c r="E94" s="155"/>
      <c r="F94" s="155" t="s">
        <v>394</v>
      </c>
      <c r="G94" s="155"/>
    </row>
    <row r="95" spans="1:7" ht="55.3" customHeight="1" x14ac:dyDescent="0.4">
      <c r="A95" s="178">
        <v>9323</v>
      </c>
      <c r="B95" s="144" t="s">
        <v>395</v>
      </c>
      <c r="C95" s="179" t="s">
        <v>397</v>
      </c>
      <c r="D95" s="179"/>
      <c r="E95" s="179">
        <v>1836</v>
      </c>
      <c r="F95" s="179"/>
      <c r="G95" s="177" t="s">
        <v>306</v>
      </c>
    </row>
    <row r="96" spans="1:7" ht="60.45" x14ac:dyDescent="0.4">
      <c r="A96" s="178"/>
      <c r="B96" s="144" t="s">
        <v>396</v>
      </c>
      <c r="C96" s="179"/>
      <c r="D96" s="179"/>
      <c r="E96" s="179"/>
      <c r="F96" s="179"/>
      <c r="G96" s="177"/>
    </row>
    <row r="97" spans="1:7" ht="55.3" customHeight="1" x14ac:dyDescent="0.4">
      <c r="A97" s="178">
        <v>9347</v>
      </c>
      <c r="B97" s="144" t="s">
        <v>395</v>
      </c>
      <c r="C97" s="179" t="s">
        <v>397</v>
      </c>
      <c r="D97" s="179"/>
      <c r="E97" s="179">
        <v>1836</v>
      </c>
      <c r="F97" s="179"/>
      <c r="G97" s="177" t="s">
        <v>306</v>
      </c>
    </row>
    <row r="98" spans="1:7" ht="60.45" x14ac:dyDescent="0.4">
      <c r="A98" s="178"/>
      <c r="B98" s="144" t="s">
        <v>396</v>
      </c>
      <c r="C98" s="179"/>
      <c r="D98" s="179"/>
      <c r="E98" s="179"/>
      <c r="F98" s="179"/>
      <c r="G98" s="177"/>
    </row>
    <row r="99" spans="1:7" ht="40.299999999999997" x14ac:dyDescent="0.4">
      <c r="A99" s="149">
        <v>9869.6</v>
      </c>
      <c r="B99" s="144"/>
      <c r="C99" s="144" t="s">
        <v>398</v>
      </c>
      <c r="D99" s="144"/>
      <c r="E99" s="144"/>
      <c r="F99" s="144"/>
      <c r="G99" s="144"/>
    </row>
    <row r="100" spans="1:7" ht="302.14999999999998" x14ac:dyDescent="0.4">
      <c r="A100" s="148">
        <v>10000</v>
      </c>
      <c r="B100" s="146" t="s">
        <v>399</v>
      </c>
      <c r="C100" s="144" t="s">
        <v>400</v>
      </c>
      <c r="D100" s="144"/>
      <c r="E100" s="144" t="s">
        <v>215</v>
      </c>
      <c r="F100" s="144"/>
      <c r="G100" s="144" t="s">
        <v>401</v>
      </c>
    </row>
    <row r="101" spans="1:7" ht="73.75" customHeight="1" x14ac:dyDescent="0.4">
      <c r="A101" s="178">
        <v>10044</v>
      </c>
      <c r="B101" s="144" t="s">
        <v>402</v>
      </c>
      <c r="C101" s="179" t="s">
        <v>404</v>
      </c>
      <c r="D101" s="179"/>
      <c r="E101" s="179"/>
      <c r="F101" s="179"/>
      <c r="G101" s="177" t="s">
        <v>306</v>
      </c>
    </row>
    <row r="102" spans="1:7" ht="40.299999999999997" x14ac:dyDescent="0.4">
      <c r="A102" s="178"/>
      <c r="B102" s="144" t="s">
        <v>403</v>
      </c>
      <c r="C102" s="179"/>
      <c r="D102" s="179"/>
      <c r="E102" s="179"/>
      <c r="F102" s="179"/>
      <c r="G102" s="177"/>
    </row>
    <row r="103" spans="1:7" ht="40.299999999999997" x14ac:dyDescent="0.4">
      <c r="A103" s="148">
        <v>10670</v>
      </c>
      <c r="B103" s="144"/>
      <c r="C103" s="144" t="s">
        <v>405</v>
      </c>
      <c r="D103" s="144"/>
      <c r="E103" s="144"/>
      <c r="F103" s="144"/>
      <c r="G103" s="144"/>
    </row>
    <row r="104" spans="1:7" ht="282" x14ac:dyDescent="0.4">
      <c r="A104" s="149">
        <v>10688.54</v>
      </c>
      <c r="B104" s="144" t="s">
        <v>406</v>
      </c>
      <c r="C104" s="144" t="s">
        <v>407</v>
      </c>
      <c r="D104" s="144"/>
      <c r="E104" s="144">
        <v>1889</v>
      </c>
      <c r="F104" s="144"/>
      <c r="G104" s="144" t="s">
        <v>408</v>
      </c>
    </row>
    <row r="105" spans="1:7" ht="100.75" x14ac:dyDescent="0.4">
      <c r="A105" s="154">
        <v>11113.7</v>
      </c>
      <c r="B105" s="155" t="s">
        <v>248</v>
      </c>
      <c r="C105" s="155"/>
      <c r="D105" s="155"/>
      <c r="E105" s="155"/>
      <c r="F105" s="155" t="s">
        <v>409</v>
      </c>
      <c r="G105" s="155"/>
    </row>
    <row r="106" spans="1:7" ht="100.75" x14ac:dyDescent="0.4">
      <c r="A106" s="154">
        <v>11132.4</v>
      </c>
      <c r="B106" s="155" t="s">
        <v>248</v>
      </c>
      <c r="C106" s="155"/>
      <c r="D106" s="155"/>
      <c r="E106" s="155"/>
      <c r="F106" s="155" t="s">
        <v>410</v>
      </c>
      <c r="G106" s="155"/>
    </row>
    <row r="107" spans="1:7" ht="72.900000000000006" x14ac:dyDescent="0.4">
      <c r="A107" s="148">
        <v>11299</v>
      </c>
      <c r="B107" s="144" t="s">
        <v>406</v>
      </c>
      <c r="C107" s="144" t="s">
        <v>411</v>
      </c>
      <c r="D107" s="144"/>
      <c r="E107" s="144"/>
      <c r="F107" s="144"/>
      <c r="G107" s="146" t="s">
        <v>412</v>
      </c>
    </row>
  </sheetData>
  <mergeCells count="83">
    <mergeCell ref="F33:F34"/>
    <mergeCell ref="G33:G34"/>
    <mergeCell ref="C52:C53"/>
    <mergeCell ref="D52:D53"/>
    <mergeCell ref="C33:C34"/>
    <mergeCell ref="D33:D34"/>
    <mergeCell ref="E33:E34"/>
    <mergeCell ref="G44:G45"/>
    <mergeCell ref="A47:A48"/>
    <mergeCell ref="B47:B48"/>
    <mergeCell ref="C47:C48"/>
    <mergeCell ref="D47:D48"/>
    <mergeCell ref="E47:E48"/>
    <mergeCell ref="G47:G48"/>
    <mergeCell ref="A44:A45"/>
    <mergeCell ref="C44:C45"/>
    <mergeCell ref="D44:D45"/>
    <mergeCell ref="E44:E45"/>
    <mergeCell ref="F44:F45"/>
    <mergeCell ref="E52:E53"/>
    <mergeCell ref="F52:F53"/>
    <mergeCell ref="G66:G67"/>
    <mergeCell ref="A63:A64"/>
    <mergeCell ref="C63:C64"/>
    <mergeCell ref="D63:D64"/>
    <mergeCell ref="E63:E64"/>
    <mergeCell ref="F63:F64"/>
    <mergeCell ref="G63:G64"/>
    <mergeCell ref="A66:A67"/>
    <mergeCell ref="C66:C67"/>
    <mergeCell ref="D66:D67"/>
    <mergeCell ref="E66:E67"/>
    <mergeCell ref="F66:F67"/>
    <mergeCell ref="G52:G53"/>
    <mergeCell ref="A52:A53"/>
    <mergeCell ref="G80:G81"/>
    <mergeCell ref="B72:B73"/>
    <mergeCell ref="C72:C73"/>
    <mergeCell ref="D72:D73"/>
    <mergeCell ref="E72:E73"/>
    <mergeCell ref="F72:F73"/>
    <mergeCell ref="G72:G73"/>
    <mergeCell ref="A80:A81"/>
    <mergeCell ref="C80:C81"/>
    <mergeCell ref="D80:D81"/>
    <mergeCell ref="E80:E81"/>
    <mergeCell ref="F80:F81"/>
    <mergeCell ref="G84:G85"/>
    <mergeCell ref="A82:A83"/>
    <mergeCell ref="C82:C83"/>
    <mergeCell ref="D82:D83"/>
    <mergeCell ref="E82:E83"/>
    <mergeCell ref="F82:F83"/>
    <mergeCell ref="G82:G83"/>
    <mergeCell ref="A84:A85"/>
    <mergeCell ref="C84:C85"/>
    <mergeCell ref="D84:D85"/>
    <mergeCell ref="E84:E85"/>
    <mergeCell ref="F84:F85"/>
    <mergeCell ref="G95:G96"/>
    <mergeCell ref="A90:A91"/>
    <mergeCell ref="C90:C91"/>
    <mergeCell ref="D90:D91"/>
    <mergeCell ref="E90:E91"/>
    <mergeCell ref="F90:F91"/>
    <mergeCell ref="G90:G91"/>
    <mergeCell ref="A95:A96"/>
    <mergeCell ref="C95:C96"/>
    <mergeCell ref="D95:D96"/>
    <mergeCell ref="E95:E96"/>
    <mergeCell ref="F95:F96"/>
    <mergeCell ref="G101:G102"/>
    <mergeCell ref="A97:A98"/>
    <mergeCell ref="C97:C98"/>
    <mergeCell ref="D97:D98"/>
    <mergeCell ref="E97:E98"/>
    <mergeCell ref="F97:F98"/>
    <mergeCell ref="G97:G98"/>
    <mergeCell ref="A101:A102"/>
    <mergeCell ref="C101:C102"/>
    <mergeCell ref="D101:D102"/>
    <mergeCell ref="E101:E102"/>
    <mergeCell ref="F101:F102"/>
  </mergeCells>
  <hyperlinks>
    <hyperlink ref="B2" r:id="rId1" tooltip="Li (unit)" display="https://wikimili.com/en/Li_(unit)" xr:uid="{EB93BC2A-CD06-4BA3-B9CF-78B4105031E5}"/>
    <hyperlink ref="C2" r:id="rId2" tooltip="China" display="https://wikimili.com/en/China" xr:uid="{D9AE295B-D66C-4B48-8329-3B4E7668836D}"/>
    <hyperlink ref="F2" r:id="rId3" tooltip="Chi (unit)" display="https://wikimili.com/en/Chi_(unit)" xr:uid="{3D89DF3A-EC98-4A14-BD12-A36E9B824CF9}"/>
    <hyperlink ref="B3" r:id="rId4" tooltip="Biblical mile" display="https://wikimili.com/en/Biblical_mile" xr:uid="{43DE0E28-C77F-4AA3-BB11-0F784A3A0BB7}"/>
    <hyperlink ref="C3" r:id="rId5" tooltip="Land of Israel" display="https://wikimili.com/en/Land_of_Israel" xr:uid="{9EC15978-270B-4C38-A125-9A8F468EF7C4}"/>
    <hyperlink ref="G3" r:id="rId6" tooltip="Biblical and Talmudic units of measurement" display="https://wikimili.com/en/Biblical_and_Talmudic_units_of_measurement" xr:uid="{04D879F5-FBD8-4038-815D-203941513300}"/>
    <hyperlink ref="G4" r:id="rId7" tooltip="Ancient Roman units of measurement" display="https://wikimili.com/en/Ancient_Roman_units_of_measurement" xr:uid="{B09B2F08-DA76-45A5-AE17-C230A2D92A2C}"/>
    <hyperlink ref="B5" r:id="rId8" location="cite_note-98" display="https://wikimili.com/en/Mile - cite_note-98" xr:uid="{6B6E5E96-C7BD-4761-854A-890941906B65}"/>
    <hyperlink ref="G7" r:id="rId9" tooltip="Elizabeth I" display="https://wikimili.com/en/Elizabeth_I" xr:uid="{07BA9D4F-0615-43E5-A3C2-84306D7AB3C5}"/>
    <hyperlink ref="C8" r:id="rId10" tooltip="Wikipedia:Citation needed" display="https://en.wikipedia.org/wiki/Wikipedia:Citation_needed" xr:uid="{A0B9DAFB-3C2C-42D2-8255-589BC968D37B}"/>
    <hyperlink ref="F8" r:id="rId11" tooltip="Yard" display="https://wikimili.com/en/Yard" xr:uid="{16DF58AA-099C-4943-B5D3-E08EFF3067EE}"/>
    <hyperlink ref="G9" r:id="rId12" tooltip="Comparison of the imperial and US customary measurement systems" display="https://wikimili.com/en/Comparison_of_the_imperial_and_US_customary_measurement_systems" xr:uid="{A8E24C7F-B4C0-4A47-B189-FAF787CA9633}"/>
    <hyperlink ref="B12" r:id="rId13" tooltip="Nautical mile" display="https://wikimili.com/en/Nautical_mile" xr:uid="{D7F382C3-3F34-42CB-BE43-C7E96AAA6AA9}"/>
    <hyperlink ref="C17" r:id="rId14" tooltip="Gallo-Roman culture" display="https://wikimili.com/en/Gallo-Roman_culture" xr:uid="{0BA0D590-E15F-4827-879E-A725A9E40A16}"/>
    <hyperlink ref="F23" r:id="rId15" tooltip="Shaku (unit)" display="https://wikimili.com/en/Shaku_(unit)" xr:uid="{C992A5F2-BD2C-4042-A91B-EA5244895881}"/>
    <hyperlink ref="C26" r:id="rId16" location="cite_note-BI-100" display="https://wikimili.com/en/Mile - cite_note-BI-100" xr:uid="{1E4E9056-D7B3-4DBF-91C6-D21627F45201}"/>
    <hyperlink ref="C30" r:id="rId17" location="cite_note-BI-100" display="https://wikimili.com/en/Mile - cite_note-BI-100" xr:uid="{5BF6A70E-6B18-4558-83E5-93C2C94C6F23}"/>
    <hyperlink ref="C35" r:id="rId18" location="cite_note-BI-100" display="https://wikimili.com/en/Mile - cite_note-BI-100" xr:uid="{B976C946-A9F0-4929-AB55-A91CEA3EAA47}"/>
    <hyperlink ref="C36" r:id="rId19" location="cite_note-BI-100" display="https://wikimili.com/en/Mile - cite_note-BI-100" xr:uid="{EE34FB7C-AD38-4117-BBD3-F1ADBA87AA63}"/>
    <hyperlink ref="C37" r:id="rId20" location="cite_note-BI-100" display="https://wikimili.com/en/Mile - cite_note-BI-100" xr:uid="{9332630D-8E50-448C-909A-71C75DFC7E05}"/>
    <hyperlink ref="F48" r:id="rId21" tooltip="Nautical mile" display="https://wikimili.com/en/Nautical_mile" xr:uid="{A8EA863B-7D70-4A1C-BC8A-D467CE9A45C2}"/>
    <hyperlink ref="C50" r:id="rId22" location="cite_note-BI-100" display="https://wikimili.com/en/Mile - cite_note-BI-100" xr:uid="{0E5AB945-5100-49F1-9F77-E4A94173AF4E}"/>
    <hyperlink ref="C51" r:id="rId23" location="cite_note-BI-100" display="https://wikimili.com/en/Mile - cite_note-BI-100" xr:uid="{61C03013-3FE0-4124-9FF7-124F5AF2E4A6}"/>
    <hyperlink ref="C52" r:id="rId24" location="cite_note-BI-100" display="https://wikimili.com/en/Mile - cite_note-BI-100" xr:uid="{BFDD2D7B-01AD-4030-A292-341EAC52B4D6}"/>
    <hyperlink ref="C54" r:id="rId25" location="cite_note-BI-100" display="https://wikimili.com/en/Mile - cite_note-BI-100" xr:uid="{2316457E-1609-41E0-9C8A-E30B8FA21401}"/>
    <hyperlink ref="B56" r:id="rId26" tooltip="Ottoman units of measurement" display="https://wikimili.com/en/Ottoman_units_of_measurement" xr:uid="{030B7348-4193-4B94-B72F-450558849715}"/>
    <hyperlink ref="G56" r:id="rId27" tooltip="Parasang" display="https://wikimili.com/en/Parasang" xr:uid="{B6C5FEB0-37A2-4553-8EB6-43F92CABF7D1}"/>
    <hyperlink ref="A57" r:id="rId28" location="cite_note-101" display="https://wikimili.com/en/Mile - cite_note-101" xr:uid="{CCAE5E46-5F0F-4F01-9DC3-E29A52D4CA97}"/>
    <hyperlink ref="C59" r:id="rId29" location="cite_note-BI-100" display="https://wikimili.com/en/Mile - cite_note-BI-100" xr:uid="{E97FBF93-5EAA-4882-BEC5-F4D108A31BF0}"/>
    <hyperlink ref="C63" r:id="rId30" location="cite_note-BI-100" display="https://wikimili.com/en/Mile - cite_note-BI-100" xr:uid="{E9EB17F8-885B-48CD-9355-E88D3CD159C7}"/>
    <hyperlink ref="C82" r:id="rId31" tooltip="Prussia" display="https://wikimili.com/en/Prussia" xr:uid="{3819C743-659E-4DB2-88F9-4988C724E7FC}"/>
    <hyperlink ref="B100" r:id="rId32" tooltip="Scandinavian mile" display="https://wikimili.com/en/Scandinavian_mile" xr:uid="{A141B9D6-BA49-4BCD-9A51-C92299C17088}"/>
    <hyperlink ref="G107" r:id="rId33" tooltip="Rod (unit)" display="https://wikimili.com/en/Rod_(unit)" xr:uid="{7DFC4DB3-20E1-425E-A65C-13435E68D16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1EB6F6-71D6-4D59-89A4-1F6517EA7B5A}">
  <dimension ref="C1:I182"/>
  <sheetViews>
    <sheetView topLeftCell="A37" workbookViewId="0">
      <selection activeCell="E62" sqref="E62"/>
    </sheetView>
  </sheetViews>
  <sheetFormatPr defaultRowHeight="14.6" x14ac:dyDescent="0.4"/>
  <cols>
    <col min="3" max="3" width="35" bestFit="1" customWidth="1"/>
    <col min="4" max="4" width="5.15234375" bestFit="1" customWidth="1"/>
    <col min="5" max="5" width="30.921875" bestFit="1" customWidth="1"/>
    <col min="6" max="6" width="5.3828125" bestFit="1" customWidth="1"/>
    <col min="7" max="7" width="30.921875" bestFit="1" customWidth="1"/>
    <col min="8" max="8" width="5.3828125" bestFit="1" customWidth="1"/>
  </cols>
  <sheetData>
    <row r="1" spans="3:9" x14ac:dyDescent="0.4">
      <c r="C1" t="s">
        <v>1149</v>
      </c>
      <c r="D1" t="s">
        <v>1151</v>
      </c>
      <c r="E1" t="s">
        <v>1150</v>
      </c>
      <c r="F1" t="s">
        <v>1151</v>
      </c>
      <c r="G1" t="s">
        <v>1152</v>
      </c>
      <c r="H1" t="s">
        <v>1151</v>
      </c>
      <c r="I1" t="s">
        <v>1153</v>
      </c>
    </row>
    <row r="2" spans="3:9" x14ac:dyDescent="0.4">
      <c r="C2" t="s">
        <v>789</v>
      </c>
      <c r="D2" t="s">
        <v>790</v>
      </c>
      <c r="I2" t="s">
        <v>1153</v>
      </c>
    </row>
    <row r="3" spans="3:9" x14ac:dyDescent="0.4">
      <c r="C3" t="s">
        <v>791</v>
      </c>
      <c r="D3" t="s">
        <v>792</v>
      </c>
      <c r="I3" t="s">
        <v>1153</v>
      </c>
    </row>
    <row r="4" spans="3:9" x14ac:dyDescent="0.4">
      <c r="C4" t="s">
        <v>793</v>
      </c>
      <c r="D4" t="s">
        <v>794</v>
      </c>
      <c r="I4" t="s">
        <v>1153</v>
      </c>
    </row>
    <row r="5" spans="3:9" x14ac:dyDescent="0.4">
      <c r="C5" t="s">
        <v>795</v>
      </c>
      <c r="D5" t="s">
        <v>796</v>
      </c>
      <c r="I5" t="s">
        <v>1153</v>
      </c>
    </row>
    <row r="6" spans="3:9" x14ac:dyDescent="0.4">
      <c r="C6" t="s">
        <v>797</v>
      </c>
      <c r="D6" t="s">
        <v>798</v>
      </c>
      <c r="I6" t="s">
        <v>1153</v>
      </c>
    </row>
    <row r="7" spans="3:9" x14ac:dyDescent="0.4">
      <c r="C7" t="s">
        <v>799</v>
      </c>
      <c r="D7" t="s">
        <v>800</v>
      </c>
      <c r="I7" t="s">
        <v>1153</v>
      </c>
    </row>
    <row r="8" spans="3:9" x14ac:dyDescent="0.4">
      <c r="C8" t="s">
        <v>801</v>
      </c>
      <c r="D8" t="s">
        <v>802</v>
      </c>
      <c r="I8" t="s">
        <v>1153</v>
      </c>
    </row>
    <row r="9" spans="3:9" x14ac:dyDescent="0.4">
      <c r="C9" t="s">
        <v>803</v>
      </c>
      <c r="D9" t="s">
        <v>804</v>
      </c>
      <c r="I9" t="s">
        <v>1153</v>
      </c>
    </row>
    <row r="10" spans="3:9" x14ac:dyDescent="0.4">
      <c r="C10" t="s">
        <v>805</v>
      </c>
      <c r="D10" t="s">
        <v>806</v>
      </c>
      <c r="I10" t="s">
        <v>1153</v>
      </c>
    </row>
    <row r="11" spans="3:9" x14ac:dyDescent="0.4">
      <c r="C11" t="s">
        <v>807</v>
      </c>
      <c r="D11" t="s">
        <v>808</v>
      </c>
      <c r="I11" t="s">
        <v>1153</v>
      </c>
    </row>
    <row r="12" spans="3:9" x14ac:dyDescent="0.4">
      <c r="C12" t="s">
        <v>809</v>
      </c>
      <c r="D12" t="s">
        <v>810</v>
      </c>
      <c r="I12" t="s">
        <v>1153</v>
      </c>
    </row>
    <row r="13" spans="3:9" x14ac:dyDescent="0.4">
      <c r="C13" t="s">
        <v>811</v>
      </c>
      <c r="D13" t="s">
        <v>812</v>
      </c>
      <c r="I13" t="s">
        <v>1153</v>
      </c>
    </row>
    <row r="14" spans="3:9" x14ac:dyDescent="0.4">
      <c r="C14" t="s">
        <v>813</v>
      </c>
      <c r="D14" t="s">
        <v>814</v>
      </c>
      <c r="I14" t="s">
        <v>1153</v>
      </c>
    </row>
    <row r="15" spans="3:9" x14ac:dyDescent="0.4">
      <c r="C15" t="s">
        <v>815</v>
      </c>
      <c r="D15" t="s">
        <v>816</v>
      </c>
      <c r="I15" t="s">
        <v>1153</v>
      </c>
    </row>
    <row r="16" spans="3:9" x14ac:dyDescent="0.4">
      <c r="C16" t="s">
        <v>817</v>
      </c>
      <c r="D16" t="s">
        <v>818</v>
      </c>
      <c r="I16" t="s">
        <v>1153</v>
      </c>
    </row>
    <row r="17" spans="3:9" x14ac:dyDescent="0.4">
      <c r="C17" t="s">
        <v>819</v>
      </c>
      <c r="D17" t="s">
        <v>820</v>
      </c>
      <c r="I17" t="s">
        <v>1153</v>
      </c>
    </row>
    <row r="18" spans="3:9" x14ac:dyDescent="0.4">
      <c r="C18" t="s">
        <v>821</v>
      </c>
      <c r="D18" t="s">
        <v>822</v>
      </c>
      <c r="I18" t="s">
        <v>1153</v>
      </c>
    </row>
    <row r="19" spans="3:9" x14ac:dyDescent="0.4">
      <c r="C19" t="s">
        <v>823</v>
      </c>
      <c r="D19" t="s">
        <v>824</v>
      </c>
      <c r="I19" t="s">
        <v>1153</v>
      </c>
    </row>
    <row r="20" spans="3:9" x14ac:dyDescent="0.4">
      <c r="C20" t="s">
        <v>825</v>
      </c>
      <c r="D20" t="s">
        <v>826</v>
      </c>
      <c r="I20" t="s">
        <v>1153</v>
      </c>
    </row>
    <row r="21" spans="3:9" x14ac:dyDescent="0.4">
      <c r="C21" t="s">
        <v>827</v>
      </c>
      <c r="D21" t="s">
        <v>828</v>
      </c>
      <c r="I21" t="s">
        <v>1153</v>
      </c>
    </row>
    <row r="22" spans="3:9" x14ac:dyDescent="0.4">
      <c r="C22" t="s">
        <v>829</v>
      </c>
      <c r="D22" t="s">
        <v>830</v>
      </c>
      <c r="I22" t="s">
        <v>1153</v>
      </c>
    </row>
    <row r="23" spans="3:9" x14ac:dyDescent="0.4">
      <c r="C23" t="s">
        <v>831</v>
      </c>
      <c r="D23" t="s">
        <v>832</v>
      </c>
      <c r="I23" t="s">
        <v>1153</v>
      </c>
    </row>
    <row r="24" spans="3:9" x14ac:dyDescent="0.4">
      <c r="C24" t="s">
        <v>833</v>
      </c>
      <c r="D24" t="s">
        <v>834</v>
      </c>
      <c r="I24" t="s">
        <v>1153</v>
      </c>
    </row>
    <row r="25" spans="3:9" x14ac:dyDescent="0.4">
      <c r="C25" t="s">
        <v>835</v>
      </c>
      <c r="D25" t="s">
        <v>836</v>
      </c>
      <c r="I25" t="s">
        <v>1153</v>
      </c>
    </row>
    <row r="26" spans="3:9" x14ac:dyDescent="0.4">
      <c r="C26" t="s">
        <v>837</v>
      </c>
      <c r="D26" t="s">
        <v>838</v>
      </c>
      <c r="I26" t="s">
        <v>1153</v>
      </c>
    </row>
    <row r="27" spans="3:9" x14ac:dyDescent="0.4">
      <c r="C27" t="s">
        <v>839</v>
      </c>
      <c r="D27" t="s">
        <v>840</v>
      </c>
      <c r="I27" t="s">
        <v>1153</v>
      </c>
    </row>
    <row r="28" spans="3:9" x14ac:dyDescent="0.4">
      <c r="C28" t="s">
        <v>841</v>
      </c>
      <c r="D28" t="s">
        <v>842</v>
      </c>
      <c r="I28" t="s">
        <v>1153</v>
      </c>
    </row>
    <row r="29" spans="3:9" x14ac:dyDescent="0.4">
      <c r="C29" t="s">
        <v>843</v>
      </c>
      <c r="D29" t="s">
        <v>844</v>
      </c>
      <c r="I29" t="s">
        <v>1153</v>
      </c>
    </row>
    <row r="30" spans="3:9" x14ac:dyDescent="0.4">
      <c r="C30" t="s">
        <v>845</v>
      </c>
      <c r="D30" t="s">
        <v>846</v>
      </c>
      <c r="I30" t="s">
        <v>1153</v>
      </c>
    </row>
    <row r="31" spans="3:9" x14ac:dyDescent="0.4">
      <c r="C31" t="s">
        <v>847</v>
      </c>
      <c r="D31" t="s">
        <v>848</v>
      </c>
      <c r="I31" t="s">
        <v>1153</v>
      </c>
    </row>
    <row r="32" spans="3:9" x14ac:dyDescent="0.4">
      <c r="C32" t="s">
        <v>849</v>
      </c>
      <c r="D32" t="s">
        <v>850</v>
      </c>
      <c r="I32" t="s">
        <v>1153</v>
      </c>
    </row>
    <row r="33" spans="3:9" x14ac:dyDescent="0.4">
      <c r="C33" t="s">
        <v>851</v>
      </c>
      <c r="D33" t="s">
        <v>852</v>
      </c>
      <c r="I33" t="s">
        <v>1153</v>
      </c>
    </row>
    <row r="34" spans="3:9" x14ac:dyDescent="0.4">
      <c r="C34" t="s">
        <v>853</v>
      </c>
      <c r="D34" t="s">
        <v>854</v>
      </c>
      <c r="I34" t="s">
        <v>1153</v>
      </c>
    </row>
    <row r="35" spans="3:9" x14ac:dyDescent="0.4">
      <c r="C35" t="s">
        <v>855</v>
      </c>
      <c r="D35" t="s">
        <v>856</v>
      </c>
      <c r="I35" t="s">
        <v>1153</v>
      </c>
    </row>
    <row r="36" spans="3:9" x14ac:dyDescent="0.4">
      <c r="C36" t="s">
        <v>857</v>
      </c>
      <c r="D36" t="s">
        <v>858</v>
      </c>
      <c r="I36" t="s">
        <v>1153</v>
      </c>
    </row>
    <row r="37" spans="3:9" x14ac:dyDescent="0.4">
      <c r="C37" t="s">
        <v>859</v>
      </c>
      <c r="D37" t="s">
        <v>860</v>
      </c>
      <c r="I37" t="s">
        <v>1153</v>
      </c>
    </row>
    <row r="38" spans="3:9" x14ac:dyDescent="0.4">
      <c r="C38" t="s">
        <v>861</v>
      </c>
      <c r="D38" t="s">
        <v>862</v>
      </c>
      <c r="I38" t="s">
        <v>1153</v>
      </c>
    </row>
    <row r="39" spans="3:9" x14ac:dyDescent="0.4">
      <c r="C39" t="s">
        <v>863</v>
      </c>
      <c r="D39" t="s">
        <v>864</v>
      </c>
      <c r="I39" t="s">
        <v>1153</v>
      </c>
    </row>
    <row r="40" spans="3:9" x14ac:dyDescent="0.4">
      <c r="C40" t="s">
        <v>865</v>
      </c>
      <c r="D40" t="s">
        <v>866</v>
      </c>
      <c r="I40" t="s">
        <v>1153</v>
      </c>
    </row>
    <row r="41" spans="3:9" x14ac:dyDescent="0.4">
      <c r="C41" t="s">
        <v>867</v>
      </c>
      <c r="D41" t="s">
        <v>868</v>
      </c>
      <c r="I41" t="s">
        <v>1153</v>
      </c>
    </row>
    <row r="42" spans="3:9" x14ac:dyDescent="0.4">
      <c r="C42" t="s">
        <v>869</v>
      </c>
      <c r="D42" t="s">
        <v>870</v>
      </c>
      <c r="I42" t="s">
        <v>1153</v>
      </c>
    </row>
    <row r="43" spans="3:9" x14ac:dyDescent="0.4">
      <c r="C43" t="s">
        <v>871</v>
      </c>
      <c r="D43" t="s">
        <v>872</v>
      </c>
      <c r="I43" t="s">
        <v>1153</v>
      </c>
    </row>
    <row r="44" spans="3:9" x14ac:dyDescent="0.4">
      <c r="C44" t="s">
        <v>873</v>
      </c>
      <c r="D44" t="s">
        <v>874</v>
      </c>
      <c r="I44" t="s">
        <v>1153</v>
      </c>
    </row>
    <row r="45" spans="3:9" x14ac:dyDescent="0.4">
      <c r="C45" t="s">
        <v>875</v>
      </c>
      <c r="D45" t="s">
        <v>876</v>
      </c>
      <c r="I45" t="s">
        <v>1153</v>
      </c>
    </row>
    <row r="46" spans="3:9" x14ac:dyDescent="0.4">
      <c r="C46" t="s">
        <v>877</v>
      </c>
      <c r="D46" t="s">
        <v>878</v>
      </c>
      <c r="I46" t="s">
        <v>1153</v>
      </c>
    </row>
    <row r="47" spans="3:9" x14ac:dyDescent="0.4">
      <c r="C47" t="s">
        <v>879</v>
      </c>
      <c r="D47" t="s">
        <v>880</v>
      </c>
      <c r="I47" t="s">
        <v>1153</v>
      </c>
    </row>
    <row r="48" spans="3:9" x14ac:dyDescent="0.4">
      <c r="C48" t="s">
        <v>881</v>
      </c>
      <c r="D48" t="s">
        <v>882</v>
      </c>
      <c r="I48" t="s">
        <v>1153</v>
      </c>
    </row>
    <row r="49" spans="3:9" x14ac:dyDescent="0.4">
      <c r="C49" t="s">
        <v>883</v>
      </c>
      <c r="D49" t="s">
        <v>884</v>
      </c>
      <c r="I49" t="s">
        <v>1153</v>
      </c>
    </row>
    <row r="50" spans="3:9" x14ac:dyDescent="0.4">
      <c r="C50" t="s">
        <v>885</v>
      </c>
      <c r="D50" t="s">
        <v>886</v>
      </c>
      <c r="I50" t="s">
        <v>1153</v>
      </c>
    </row>
    <row r="51" spans="3:9" x14ac:dyDescent="0.4">
      <c r="C51" t="s">
        <v>887</v>
      </c>
      <c r="D51" t="s">
        <v>888</v>
      </c>
      <c r="I51" t="s">
        <v>1153</v>
      </c>
    </row>
    <row r="52" spans="3:9" x14ac:dyDescent="0.4">
      <c r="C52" t="s">
        <v>889</v>
      </c>
      <c r="D52" t="s">
        <v>890</v>
      </c>
      <c r="I52" t="s">
        <v>1153</v>
      </c>
    </row>
    <row r="53" spans="3:9" x14ac:dyDescent="0.4">
      <c r="C53" t="s">
        <v>891</v>
      </c>
      <c r="D53" t="s">
        <v>892</v>
      </c>
      <c r="I53" t="s">
        <v>1153</v>
      </c>
    </row>
    <row r="54" spans="3:9" x14ac:dyDescent="0.4">
      <c r="C54" t="s">
        <v>893</v>
      </c>
      <c r="D54" t="s">
        <v>894</v>
      </c>
      <c r="I54" t="s">
        <v>1153</v>
      </c>
    </row>
    <row r="55" spans="3:9" x14ac:dyDescent="0.4">
      <c r="C55" t="s">
        <v>895</v>
      </c>
      <c r="D55" t="s">
        <v>896</v>
      </c>
      <c r="I55" t="s">
        <v>1153</v>
      </c>
    </row>
    <row r="56" spans="3:9" x14ac:dyDescent="0.4">
      <c r="C56" t="s">
        <v>897</v>
      </c>
      <c r="D56" t="s">
        <v>898</v>
      </c>
      <c r="I56" t="s">
        <v>1153</v>
      </c>
    </row>
    <row r="57" spans="3:9" x14ac:dyDescent="0.4">
      <c r="C57" t="s">
        <v>899</v>
      </c>
      <c r="D57" t="s">
        <v>900</v>
      </c>
      <c r="I57" t="s">
        <v>1153</v>
      </c>
    </row>
    <row r="58" spans="3:9" x14ac:dyDescent="0.4">
      <c r="C58" t="s">
        <v>901</v>
      </c>
      <c r="D58" t="s">
        <v>902</v>
      </c>
      <c r="I58" t="s">
        <v>1153</v>
      </c>
    </row>
    <row r="59" spans="3:9" x14ac:dyDescent="0.4">
      <c r="C59" t="s">
        <v>903</v>
      </c>
      <c r="D59" t="s">
        <v>904</v>
      </c>
      <c r="I59" t="s">
        <v>1153</v>
      </c>
    </row>
    <row r="60" spans="3:9" x14ac:dyDescent="0.4">
      <c r="C60" t="s">
        <v>905</v>
      </c>
      <c r="D60" t="s">
        <v>906</v>
      </c>
      <c r="I60" t="s">
        <v>1153</v>
      </c>
    </row>
    <row r="61" spans="3:9" x14ac:dyDescent="0.4">
      <c r="I61" t="s">
        <v>1153</v>
      </c>
    </row>
    <row r="62" spans="3:9" x14ac:dyDescent="0.4">
      <c r="C62" t="s">
        <v>907</v>
      </c>
      <c r="D62" t="s">
        <v>908</v>
      </c>
      <c r="I62" t="s">
        <v>1153</v>
      </c>
    </row>
    <row r="63" spans="3:9" x14ac:dyDescent="0.4">
      <c r="C63" t="s">
        <v>909</v>
      </c>
      <c r="D63" t="s">
        <v>910</v>
      </c>
    </row>
    <row r="64" spans="3:9" x14ac:dyDescent="0.4">
      <c r="C64" t="s">
        <v>911</v>
      </c>
      <c r="D64" t="s">
        <v>912</v>
      </c>
    </row>
    <row r="65" spans="3:4" x14ac:dyDescent="0.4">
      <c r="C65" t="s">
        <v>913</v>
      </c>
      <c r="D65" t="s">
        <v>914</v>
      </c>
    </row>
    <row r="66" spans="3:4" x14ac:dyDescent="0.4">
      <c r="C66" t="s">
        <v>915</v>
      </c>
      <c r="D66" t="s">
        <v>916</v>
      </c>
    </row>
    <row r="67" spans="3:4" x14ac:dyDescent="0.4">
      <c r="C67" t="s">
        <v>917</v>
      </c>
      <c r="D67" t="s">
        <v>918</v>
      </c>
    </row>
    <row r="68" spans="3:4" x14ac:dyDescent="0.4">
      <c r="C68" t="s">
        <v>919</v>
      </c>
      <c r="D68" t="s">
        <v>920</v>
      </c>
    </row>
    <row r="69" spans="3:4" x14ac:dyDescent="0.4">
      <c r="C69" t="s">
        <v>921</v>
      </c>
      <c r="D69" t="s">
        <v>922</v>
      </c>
    </row>
    <row r="70" spans="3:4" x14ac:dyDescent="0.4">
      <c r="C70" t="s">
        <v>923</v>
      </c>
      <c r="D70" t="s">
        <v>924</v>
      </c>
    </row>
    <row r="71" spans="3:4" x14ac:dyDescent="0.4">
      <c r="C71" t="s">
        <v>925</v>
      </c>
      <c r="D71" t="s">
        <v>926</v>
      </c>
    </row>
    <row r="72" spans="3:4" x14ac:dyDescent="0.4">
      <c r="C72" t="s">
        <v>927</v>
      </c>
      <c r="D72" t="s">
        <v>928</v>
      </c>
    </row>
    <row r="73" spans="3:4" x14ac:dyDescent="0.4">
      <c r="C73" t="s">
        <v>929</v>
      </c>
      <c r="D73" t="s">
        <v>930</v>
      </c>
    </row>
    <row r="74" spans="3:4" x14ac:dyDescent="0.4">
      <c r="C74" t="s">
        <v>931</v>
      </c>
      <c r="D74" t="s">
        <v>932</v>
      </c>
    </row>
    <row r="75" spans="3:4" x14ac:dyDescent="0.4">
      <c r="C75" t="s">
        <v>933</v>
      </c>
      <c r="D75" t="s">
        <v>934</v>
      </c>
    </row>
    <row r="76" spans="3:4" x14ac:dyDescent="0.4">
      <c r="C76" t="s">
        <v>935</v>
      </c>
      <c r="D76" t="s">
        <v>936</v>
      </c>
    </row>
    <row r="77" spans="3:4" x14ac:dyDescent="0.4">
      <c r="C77" t="s">
        <v>937</v>
      </c>
      <c r="D77" t="s">
        <v>938</v>
      </c>
    </row>
    <row r="78" spans="3:4" x14ac:dyDescent="0.4">
      <c r="C78" t="s">
        <v>939</v>
      </c>
      <c r="D78" t="s">
        <v>940</v>
      </c>
    </row>
    <row r="79" spans="3:4" x14ac:dyDescent="0.4">
      <c r="C79" t="s">
        <v>941</v>
      </c>
      <c r="D79" t="s">
        <v>942</v>
      </c>
    </row>
    <row r="80" spans="3:4" x14ac:dyDescent="0.4">
      <c r="C80" t="s">
        <v>943</v>
      </c>
      <c r="D80" t="s">
        <v>944</v>
      </c>
    </row>
    <row r="81" spans="3:4" x14ac:dyDescent="0.4">
      <c r="C81" t="s">
        <v>945</v>
      </c>
      <c r="D81" t="s">
        <v>946</v>
      </c>
    </row>
    <row r="82" spans="3:4" x14ac:dyDescent="0.4">
      <c r="C82" t="s">
        <v>947</v>
      </c>
      <c r="D82" t="s">
        <v>948</v>
      </c>
    </row>
    <row r="83" spans="3:4" x14ac:dyDescent="0.4">
      <c r="C83" t="s">
        <v>949</v>
      </c>
      <c r="D83" t="s">
        <v>950</v>
      </c>
    </row>
    <row r="84" spans="3:4" x14ac:dyDescent="0.4">
      <c r="C84" t="s">
        <v>951</v>
      </c>
      <c r="D84" t="s">
        <v>952</v>
      </c>
    </row>
    <row r="85" spans="3:4" x14ac:dyDescent="0.4">
      <c r="C85" t="s">
        <v>953</v>
      </c>
      <c r="D85" t="s">
        <v>954</v>
      </c>
    </row>
    <row r="86" spans="3:4" x14ac:dyDescent="0.4">
      <c r="C86" t="s">
        <v>955</v>
      </c>
      <c r="D86" t="s">
        <v>956</v>
      </c>
    </row>
    <row r="87" spans="3:4" x14ac:dyDescent="0.4">
      <c r="C87" t="s">
        <v>957</v>
      </c>
      <c r="D87" t="s">
        <v>958</v>
      </c>
    </row>
    <row r="88" spans="3:4" x14ac:dyDescent="0.4">
      <c r="C88" t="s">
        <v>959</v>
      </c>
      <c r="D88" t="s">
        <v>960</v>
      </c>
    </row>
    <row r="89" spans="3:4" x14ac:dyDescent="0.4">
      <c r="C89" t="s">
        <v>961</v>
      </c>
      <c r="D89" t="s">
        <v>962</v>
      </c>
    </row>
    <row r="90" spans="3:4" x14ac:dyDescent="0.4">
      <c r="C90" t="s">
        <v>963</v>
      </c>
      <c r="D90" t="s">
        <v>964</v>
      </c>
    </row>
    <row r="91" spans="3:4" x14ac:dyDescent="0.4">
      <c r="C91" t="s">
        <v>965</v>
      </c>
      <c r="D91" t="s">
        <v>966</v>
      </c>
    </row>
    <row r="92" spans="3:4" x14ac:dyDescent="0.4">
      <c r="C92" t="s">
        <v>967</v>
      </c>
      <c r="D92" t="s">
        <v>968</v>
      </c>
    </row>
    <row r="93" spans="3:4" x14ac:dyDescent="0.4">
      <c r="C93" t="s">
        <v>969</v>
      </c>
      <c r="D93" t="s">
        <v>970</v>
      </c>
    </row>
    <row r="94" spans="3:4" x14ac:dyDescent="0.4">
      <c r="C94" t="s">
        <v>971</v>
      </c>
      <c r="D94" t="s">
        <v>972</v>
      </c>
    </row>
    <row r="95" spans="3:4" x14ac:dyDescent="0.4">
      <c r="C95" t="s">
        <v>973</v>
      </c>
      <c r="D95" t="s">
        <v>974</v>
      </c>
    </row>
    <row r="96" spans="3:4" x14ac:dyDescent="0.4">
      <c r="C96" t="s">
        <v>975</v>
      </c>
      <c r="D96" t="s">
        <v>976</v>
      </c>
    </row>
    <row r="97" spans="3:4" x14ac:dyDescent="0.4">
      <c r="C97" t="s">
        <v>977</v>
      </c>
      <c r="D97" t="s">
        <v>978</v>
      </c>
    </row>
    <row r="98" spans="3:4" x14ac:dyDescent="0.4">
      <c r="C98" t="s">
        <v>979</v>
      </c>
      <c r="D98" t="s">
        <v>980</v>
      </c>
    </row>
    <row r="99" spans="3:4" x14ac:dyDescent="0.4">
      <c r="C99" t="s">
        <v>981</v>
      </c>
      <c r="D99" t="s">
        <v>982</v>
      </c>
    </row>
    <row r="100" spans="3:4" x14ac:dyDescent="0.4">
      <c r="C100" t="s">
        <v>983</v>
      </c>
      <c r="D100" t="s">
        <v>984</v>
      </c>
    </row>
    <row r="101" spans="3:4" x14ac:dyDescent="0.4">
      <c r="C101" t="s">
        <v>985</v>
      </c>
      <c r="D101" t="s">
        <v>986</v>
      </c>
    </row>
    <row r="102" spans="3:4" x14ac:dyDescent="0.4">
      <c r="C102" t="s">
        <v>987</v>
      </c>
      <c r="D102" t="s">
        <v>988</v>
      </c>
    </row>
    <row r="103" spans="3:4" x14ac:dyDescent="0.4">
      <c r="C103" t="s">
        <v>989</v>
      </c>
      <c r="D103" t="s">
        <v>990</v>
      </c>
    </row>
    <row r="104" spans="3:4" x14ac:dyDescent="0.4">
      <c r="C104" t="s">
        <v>991</v>
      </c>
      <c r="D104" t="s">
        <v>992</v>
      </c>
    </row>
    <row r="105" spans="3:4" x14ac:dyDescent="0.4">
      <c r="C105" t="s">
        <v>993</v>
      </c>
      <c r="D105" t="s">
        <v>994</v>
      </c>
    </row>
    <row r="106" spans="3:4" x14ac:dyDescent="0.4">
      <c r="C106" t="s">
        <v>995</v>
      </c>
      <c r="D106" t="s">
        <v>996</v>
      </c>
    </row>
    <row r="107" spans="3:4" x14ac:dyDescent="0.4">
      <c r="C107" t="s">
        <v>997</v>
      </c>
      <c r="D107" t="s">
        <v>998</v>
      </c>
    </row>
    <row r="108" spans="3:4" x14ac:dyDescent="0.4">
      <c r="C108" t="s">
        <v>999</v>
      </c>
      <c r="D108" t="s">
        <v>1000</v>
      </c>
    </row>
    <row r="109" spans="3:4" x14ac:dyDescent="0.4">
      <c r="C109" t="s">
        <v>1001</v>
      </c>
      <c r="D109" t="s">
        <v>1002</v>
      </c>
    </row>
    <row r="110" spans="3:4" x14ac:dyDescent="0.4">
      <c r="C110" t="s">
        <v>1003</v>
      </c>
      <c r="D110" t="s">
        <v>1004</v>
      </c>
    </row>
    <row r="111" spans="3:4" x14ac:dyDescent="0.4">
      <c r="C111" t="s">
        <v>1005</v>
      </c>
      <c r="D111" t="s">
        <v>1006</v>
      </c>
    </row>
    <row r="112" spans="3:4" x14ac:dyDescent="0.4">
      <c r="C112" t="s">
        <v>1007</v>
      </c>
      <c r="D112" t="s">
        <v>1008</v>
      </c>
    </row>
    <row r="113" spans="3:4" x14ac:dyDescent="0.4">
      <c r="C113" t="s">
        <v>1009</v>
      </c>
      <c r="D113" t="s">
        <v>1010</v>
      </c>
    </row>
    <row r="114" spans="3:4" x14ac:dyDescent="0.4">
      <c r="C114" t="s">
        <v>1011</v>
      </c>
      <c r="D114" t="s">
        <v>1012</v>
      </c>
    </row>
    <row r="115" spans="3:4" x14ac:dyDescent="0.4">
      <c r="C115" t="s">
        <v>1013</v>
      </c>
      <c r="D115" t="s">
        <v>1014</v>
      </c>
    </row>
    <row r="116" spans="3:4" x14ac:dyDescent="0.4">
      <c r="C116" t="s">
        <v>1015</v>
      </c>
      <c r="D116" t="s">
        <v>1016</v>
      </c>
    </row>
    <row r="117" spans="3:4" x14ac:dyDescent="0.4">
      <c r="C117" t="s">
        <v>1017</v>
      </c>
      <c r="D117" t="s">
        <v>1018</v>
      </c>
    </row>
    <row r="118" spans="3:4" x14ac:dyDescent="0.4">
      <c r="C118" t="s">
        <v>1019</v>
      </c>
      <c r="D118" t="s">
        <v>1020</v>
      </c>
    </row>
    <row r="119" spans="3:4" x14ac:dyDescent="0.4">
      <c r="C119" t="s">
        <v>1021</v>
      </c>
      <c r="D119" t="s">
        <v>1022</v>
      </c>
    </row>
    <row r="120" spans="3:4" x14ac:dyDescent="0.4">
      <c r="C120" t="s">
        <v>1023</v>
      </c>
      <c r="D120" t="s">
        <v>1024</v>
      </c>
    </row>
    <row r="121" spans="3:4" x14ac:dyDescent="0.4">
      <c r="C121" t="s">
        <v>1025</v>
      </c>
      <c r="D121" t="s">
        <v>1026</v>
      </c>
    </row>
    <row r="122" spans="3:4" x14ac:dyDescent="0.4">
      <c r="C122" t="s">
        <v>1027</v>
      </c>
      <c r="D122" t="s">
        <v>1028</v>
      </c>
    </row>
    <row r="123" spans="3:4" x14ac:dyDescent="0.4">
      <c r="C123" t="s">
        <v>1029</v>
      </c>
      <c r="D123" t="s">
        <v>1030</v>
      </c>
    </row>
    <row r="124" spans="3:4" x14ac:dyDescent="0.4">
      <c r="C124" t="s">
        <v>1031</v>
      </c>
      <c r="D124" t="s">
        <v>1032</v>
      </c>
    </row>
    <row r="125" spans="3:4" x14ac:dyDescent="0.4">
      <c r="C125" t="s">
        <v>1033</v>
      </c>
      <c r="D125" t="s">
        <v>1034</v>
      </c>
    </row>
    <row r="126" spans="3:4" x14ac:dyDescent="0.4">
      <c r="C126" t="s">
        <v>1035</v>
      </c>
      <c r="D126" t="s">
        <v>1036</v>
      </c>
    </row>
    <row r="127" spans="3:4" x14ac:dyDescent="0.4">
      <c r="C127" t="s">
        <v>1037</v>
      </c>
      <c r="D127" t="s">
        <v>1038</v>
      </c>
    </row>
    <row r="128" spans="3:4" x14ac:dyDescent="0.4">
      <c r="C128" t="s">
        <v>1039</v>
      </c>
      <c r="D128" t="s">
        <v>1040</v>
      </c>
    </row>
    <row r="129" spans="3:4" x14ac:dyDescent="0.4">
      <c r="C129" t="s">
        <v>1041</v>
      </c>
      <c r="D129" t="s">
        <v>1042</v>
      </c>
    </row>
    <row r="130" spans="3:4" x14ac:dyDescent="0.4">
      <c r="C130" t="s">
        <v>1043</v>
      </c>
      <c r="D130" t="s">
        <v>1044</v>
      </c>
    </row>
    <row r="131" spans="3:4" x14ac:dyDescent="0.4">
      <c r="C131" t="s">
        <v>1045</v>
      </c>
      <c r="D131" t="s">
        <v>1046</v>
      </c>
    </row>
    <row r="132" spans="3:4" x14ac:dyDescent="0.4">
      <c r="C132" t="s">
        <v>1047</v>
      </c>
      <c r="D132" t="s">
        <v>1048</v>
      </c>
    </row>
    <row r="133" spans="3:4" x14ac:dyDescent="0.4">
      <c r="C133" t="s">
        <v>1049</v>
      </c>
      <c r="D133" t="s">
        <v>1050</v>
      </c>
    </row>
    <row r="134" spans="3:4" x14ac:dyDescent="0.4">
      <c r="C134" t="s">
        <v>1051</v>
      </c>
      <c r="D134" t="s">
        <v>1052</v>
      </c>
    </row>
    <row r="135" spans="3:4" x14ac:dyDescent="0.4">
      <c r="C135" t="s">
        <v>1053</v>
      </c>
      <c r="D135" t="s">
        <v>1054</v>
      </c>
    </row>
    <row r="136" spans="3:4" x14ac:dyDescent="0.4">
      <c r="C136" t="s">
        <v>1055</v>
      </c>
      <c r="D136" t="s">
        <v>1056</v>
      </c>
    </row>
    <row r="137" spans="3:4" x14ac:dyDescent="0.4">
      <c r="C137" t="s">
        <v>1057</v>
      </c>
      <c r="D137" t="s">
        <v>1058</v>
      </c>
    </row>
    <row r="138" spans="3:4" x14ac:dyDescent="0.4">
      <c r="C138" t="s">
        <v>1059</v>
      </c>
      <c r="D138" t="s">
        <v>1060</v>
      </c>
    </row>
    <row r="139" spans="3:4" x14ac:dyDescent="0.4">
      <c r="C139" t="s">
        <v>1061</v>
      </c>
      <c r="D139" t="s">
        <v>1062</v>
      </c>
    </row>
    <row r="140" spans="3:4" x14ac:dyDescent="0.4">
      <c r="C140" t="s">
        <v>1063</v>
      </c>
      <c r="D140" t="s">
        <v>1064</v>
      </c>
    </row>
    <row r="141" spans="3:4" x14ac:dyDescent="0.4">
      <c r="C141" t="s">
        <v>1065</v>
      </c>
      <c r="D141" t="s">
        <v>1066</v>
      </c>
    </row>
    <row r="142" spans="3:4" x14ac:dyDescent="0.4">
      <c r="C142" t="s">
        <v>1067</v>
      </c>
      <c r="D142" t="s">
        <v>1068</v>
      </c>
    </row>
    <row r="143" spans="3:4" x14ac:dyDescent="0.4">
      <c r="C143" t="s">
        <v>1069</v>
      </c>
      <c r="D143" t="s">
        <v>1070</v>
      </c>
    </row>
    <row r="144" spans="3:4" x14ac:dyDescent="0.4">
      <c r="C144" t="s">
        <v>1071</v>
      </c>
      <c r="D144" t="s">
        <v>1072</v>
      </c>
    </row>
    <row r="145" spans="3:4" x14ac:dyDescent="0.4">
      <c r="C145" t="s">
        <v>1073</v>
      </c>
      <c r="D145" t="s">
        <v>1074</v>
      </c>
    </row>
    <row r="146" spans="3:4" x14ac:dyDescent="0.4">
      <c r="C146" t="s">
        <v>1075</v>
      </c>
      <c r="D146" t="s">
        <v>1076</v>
      </c>
    </row>
    <row r="147" spans="3:4" x14ac:dyDescent="0.4">
      <c r="C147" t="s">
        <v>1077</v>
      </c>
      <c r="D147" t="s">
        <v>1078</v>
      </c>
    </row>
    <row r="148" spans="3:4" x14ac:dyDescent="0.4">
      <c r="C148" t="s">
        <v>1079</v>
      </c>
      <c r="D148" t="s">
        <v>1080</v>
      </c>
    </row>
    <row r="149" spans="3:4" x14ac:dyDescent="0.4">
      <c r="C149" t="s">
        <v>1081</v>
      </c>
      <c r="D149" t="s">
        <v>1082</v>
      </c>
    </row>
    <row r="150" spans="3:4" x14ac:dyDescent="0.4">
      <c r="C150" t="s">
        <v>1083</v>
      </c>
      <c r="D150" t="s">
        <v>1084</v>
      </c>
    </row>
    <row r="151" spans="3:4" x14ac:dyDescent="0.4">
      <c r="C151" t="s">
        <v>1085</v>
      </c>
      <c r="D151" t="s">
        <v>1086</v>
      </c>
    </row>
    <row r="152" spans="3:4" x14ac:dyDescent="0.4">
      <c r="C152" t="s">
        <v>1087</v>
      </c>
      <c r="D152" t="s">
        <v>1088</v>
      </c>
    </row>
    <row r="153" spans="3:4" x14ac:dyDescent="0.4">
      <c r="C153" t="s">
        <v>1089</v>
      </c>
      <c r="D153" t="s">
        <v>1090</v>
      </c>
    </row>
    <row r="154" spans="3:4" x14ac:dyDescent="0.4">
      <c r="C154" t="s">
        <v>1091</v>
      </c>
      <c r="D154" t="s">
        <v>1092</v>
      </c>
    </row>
    <row r="155" spans="3:4" x14ac:dyDescent="0.4">
      <c r="C155" t="s">
        <v>1093</v>
      </c>
      <c r="D155" t="s">
        <v>1094</v>
      </c>
    </row>
    <row r="156" spans="3:4" x14ac:dyDescent="0.4">
      <c r="C156" t="s">
        <v>1095</v>
      </c>
      <c r="D156" t="s">
        <v>1096</v>
      </c>
    </row>
    <row r="157" spans="3:4" x14ac:dyDescent="0.4">
      <c r="C157" t="s">
        <v>1097</v>
      </c>
      <c r="D157" t="s">
        <v>1098</v>
      </c>
    </row>
    <row r="158" spans="3:4" x14ac:dyDescent="0.4">
      <c r="C158" t="s">
        <v>1099</v>
      </c>
      <c r="D158" t="s">
        <v>1100</v>
      </c>
    </row>
    <row r="159" spans="3:4" x14ac:dyDescent="0.4">
      <c r="C159" t="s">
        <v>1101</v>
      </c>
      <c r="D159" t="s">
        <v>1102</v>
      </c>
    </row>
    <row r="160" spans="3:4" x14ac:dyDescent="0.4">
      <c r="C160" t="s">
        <v>1103</v>
      </c>
      <c r="D160" t="s">
        <v>1104</v>
      </c>
    </row>
    <row r="161" spans="3:4" x14ac:dyDescent="0.4">
      <c r="C161" t="s">
        <v>1105</v>
      </c>
      <c r="D161" t="s">
        <v>1106</v>
      </c>
    </row>
    <row r="162" spans="3:4" x14ac:dyDescent="0.4">
      <c r="C162" t="s">
        <v>1107</v>
      </c>
      <c r="D162" t="s">
        <v>1108</v>
      </c>
    </row>
    <row r="163" spans="3:4" x14ac:dyDescent="0.4">
      <c r="C163" t="s">
        <v>1109</v>
      </c>
      <c r="D163" t="s">
        <v>1110</v>
      </c>
    </row>
    <row r="164" spans="3:4" x14ac:dyDescent="0.4">
      <c r="C164" t="s">
        <v>1111</v>
      </c>
      <c r="D164" t="s">
        <v>1112</v>
      </c>
    </row>
    <row r="165" spans="3:4" x14ac:dyDescent="0.4">
      <c r="C165" t="s">
        <v>1113</v>
      </c>
      <c r="D165" t="s">
        <v>1114</v>
      </c>
    </row>
    <row r="166" spans="3:4" x14ac:dyDescent="0.4">
      <c r="C166" t="s">
        <v>1115</v>
      </c>
      <c r="D166" t="s">
        <v>1116</v>
      </c>
    </row>
    <row r="167" spans="3:4" x14ac:dyDescent="0.4">
      <c r="C167" t="s">
        <v>1117</v>
      </c>
      <c r="D167" t="s">
        <v>1118</v>
      </c>
    </row>
    <row r="168" spans="3:4" x14ac:dyDescent="0.4">
      <c r="C168" t="s">
        <v>1119</v>
      </c>
      <c r="D168" t="s">
        <v>1120</v>
      </c>
    </row>
    <row r="169" spans="3:4" x14ac:dyDescent="0.4">
      <c r="C169" t="s">
        <v>1121</v>
      </c>
      <c r="D169" t="s">
        <v>1122</v>
      </c>
    </row>
    <row r="170" spans="3:4" x14ac:dyDescent="0.4">
      <c r="C170" t="s">
        <v>1123</v>
      </c>
      <c r="D170" t="s">
        <v>1124</v>
      </c>
    </row>
    <row r="171" spans="3:4" x14ac:dyDescent="0.4">
      <c r="C171" t="s">
        <v>1125</v>
      </c>
      <c r="D171" t="s">
        <v>1126</v>
      </c>
    </row>
    <row r="172" spans="3:4" x14ac:dyDescent="0.4">
      <c r="C172" t="s">
        <v>1127</v>
      </c>
      <c r="D172" t="s">
        <v>1128</v>
      </c>
    </row>
    <row r="173" spans="3:4" x14ac:dyDescent="0.4">
      <c r="C173" t="s">
        <v>1129</v>
      </c>
      <c r="D173" t="s">
        <v>1130</v>
      </c>
    </row>
    <row r="174" spans="3:4" x14ac:dyDescent="0.4">
      <c r="C174" t="s">
        <v>1131</v>
      </c>
      <c r="D174" t="s">
        <v>1132</v>
      </c>
    </row>
    <row r="175" spans="3:4" x14ac:dyDescent="0.4">
      <c r="C175" t="s">
        <v>1133</v>
      </c>
      <c r="D175" t="s">
        <v>1134</v>
      </c>
    </row>
    <row r="176" spans="3:4" x14ac:dyDescent="0.4">
      <c r="C176" t="s">
        <v>1135</v>
      </c>
      <c r="D176" t="s">
        <v>1136</v>
      </c>
    </row>
    <row r="177" spans="3:4" x14ac:dyDescent="0.4">
      <c r="C177" t="s">
        <v>1137</v>
      </c>
      <c r="D177" t="s">
        <v>1138</v>
      </c>
    </row>
    <row r="178" spans="3:4" x14ac:dyDescent="0.4">
      <c r="C178" t="s">
        <v>1139</v>
      </c>
      <c r="D178" t="s">
        <v>1140</v>
      </c>
    </row>
    <row r="179" spans="3:4" x14ac:dyDescent="0.4">
      <c r="C179" t="s">
        <v>1141</v>
      </c>
      <c r="D179" t="s">
        <v>1142</v>
      </c>
    </row>
    <row r="180" spans="3:4" x14ac:dyDescent="0.4">
      <c r="C180" t="s">
        <v>1143</v>
      </c>
      <c r="D180" t="s">
        <v>1144</v>
      </c>
    </row>
    <row r="181" spans="3:4" x14ac:dyDescent="0.4">
      <c r="C181" t="s">
        <v>1145</v>
      </c>
      <c r="D181" t="s">
        <v>1146</v>
      </c>
    </row>
    <row r="182" spans="3:4" x14ac:dyDescent="0.4">
      <c r="C182" t="s">
        <v>1147</v>
      </c>
      <c r="D182" t="s">
        <v>1148</v>
      </c>
    </row>
  </sheetData>
  <autoFilter ref="B1:I62" xr:uid="{0D1EB6F6-71D6-4D59-89A4-1F6517EA7B5A}"/>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D639E4-6471-407E-AEB3-06E79483F033}">
  <sheetPr codeName="Sheet8"/>
  <dimension ref="A1:G10"/>
  <sheetViews>
    <sheetView workbookViewId="0">
      <selection activeCell="F18" sqref="F18"/>
    </sheetView>
  </sheetViews>
  <sheetFormatPr defaultRowHeight="14.6" x14ac:dyDescent="0.4"/>
  <cols>
    <col min="1" max="1" width="14.61328125" bestFit="1" customWidth="1"/>
    <col min="5" max="5" width="10.765625" bestFit="1" customWidth="1"/>
    <col min="6" max="6" width="12" bestFit="1" customWidth="1"/>
    <col min="7" max="7" width="11.07421875" bestFit="1" customWidth="1"/>
  </cols>
  <sheetData>
    <row r="1" spans="1:7" ht="15" thickBot="1" x14ac:dyDescent="0.45">
      <c r="A1" s="1" t="s">
        <v>101</v>
      </c>
      <c r="B1" s="19">
        <v>109</v>
      </c>
    </row>
    <row r="2" spans="1:7" ht="15" thickBot="1" x14ac:dyDescent="0.45">
      <c r="A2" s="1" t="s">
        <v>102</v>
      </c>
      <c r="B2" s="19">
        <v>192</v>
      </c>
    </row>
    <row r="3" spans="1:7" ht="15" thickBot="1" x14ac:dyDescent="0.45">
      <c r="A3" s="1" t="s">
        <v>103</v>
      </c>
      <c r="B3" s="19">
        <v>162</v>
      </c>
      <c r="E3" s="1" t="s">
        <v>104</v>
      </c>
      <c r="F3" s="97">
        <f>SQRT(TAN(B5 / (2 * B7)) * TAN((B5 - B1) / (2 * B7)) * TAN((B5 - B2) / (2 * B7)) * TAN((B5 - B3) / (2 * B7)))</f>
        <v>5.434914597482098E-5</v>
      </c>
    </row>
    <row r="4" spans="1:7" ht="15" thickBot="1" x14ac:dyDescent="0.45">
      <c r="E4" s="1" t="s">
        <v>105</v>
      </c>
      <c r="F4" s="97">
        <f>ATAN(F3)</f>
        <v>5.4349145921308271E-5</v>
      </c>
    </row>
    <row r="5" spans="1:7" ht="15" thickBot="1" x14ac:dyDescent="0.45">
      <c r="A5" s="1" t="s">
        <v>106</v>
      </c>
      <c r="B5" s="97">
        <f>SUM(B1:B3) / 2</f>
        <v>231.5</v>
      </c>
      <c r="E5" s="1" t="s">
        <v>107</v>
      </c>
      <c r="F5" s="16">
        <f>4 * F4</f>
        <v>2.1739658368523308E-4</v>
      </c>
      <c r="G5" s="1" t="s">
        <v>10</v>
      </c>
    </row>
    <row r="6" spans="1:7" ht="15" thickBot="1" x14ac:dyDescent="0.45">
      <c r="E6" s="1" t="s">
        <v>108</v>
      </c>
      <c r="F6" s="16">
        <f>F5 * 180 / PI()</f>
        <v>1.2455906725726464E-2</v>
      </c>
      <c r="G6" s="1" t="s">
        <v>109</v>
      </c>
    </row>
    <row r="7" spans="1:7" ht="15" thickBot="1" x14ac:dyDescent="0.45">
      <c r="A7" s="1" t="s">
        <v>110</v>
      </c>
      <c r="B7" s="19">
        <v>6371</v>
      </c>
      <c r="E7" s="1" t="s">
        <v>108</v>
      </c>
      <c r="F7" s="16">
        <f>F6 * 60 * 60</f>
        <v>44.841264212615272</v>
      </c>
      <c r="G7" s="1" t="s">
        <v>111</v>
      </c>
    </row>
    <row r="9" spans="1:7" ht="15" thickBot="1" x14ac:dyDescent="0.45">
      <c r="E9" s="1" t="s">
        <v>112</v>
      </c>
      <c r="F9" s="16">
        <f>ACOS((POWER(B1, 2) + POWER(B2, 2) - POWER(B3, 2)) / (2 * B1 * B2))</f>
        <v>1.0032303676049583</v>
      </c>
      <c r="G9" s="1" t="s">
        <v>10</v>
      </c>
    </row>
    <row r="10" spans="1:7" ht="15" thickBot="1" x14ac:dyDescent="0.45">
      <c r="E10" s="1" t="s">
        <v>113</v>
      </c>
      <c r="F10" s="16">
        <f>(B1 * B2 * SIN(F9)) / 2</f>
        <v>8823.3700159009531</v>
      </c>
      <c r="G10" s="1" t="s">
        <v>114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8D272-BD52-461B-8EDB-10BBF8D76487}">
  <sheetPr codeName="Sheet23"/>
  <dimension ref="B2:F11"/>
  <sheetViews>
    <sheetView workbookViewId="0">
      <selection activeCell="E21" sqref="E21"/>
    </sheetView>
  </sheetViews>
  <sheetFormatPr defaultRowHeight="14.6" x14ac:dyDescent="0.4"/>
  <cols>
    <col min="2" max="2" width="15.23046875" bestFit="1" customWidth="1"/>
    <col min="3" max="3" width="14" bestFit="1" customWidth="1"/>
    <col min="6" max="6" width="36.07421875" bestFit="1" customWidth="1"/>
  </cols>
  <sheetData>
    <row r="2" spans="2:6" ht="15" thickBot="1" x14ac:dyDescent="0.45">
      <c r="B2" s="1" t="s">
        <v>122</v>
      </c>
      <c r="C2" s="19">
        <v>2.3E-5</v>
      </c>
      <c r="D2" s="1" t="s">
        <v>123</v>
      </c>
      <c r="E2" s="101"/>
    </row>
    <row r="4" spans="2:6" ht="15" thickBot="1" x14ac:dyDescent="0.45">
      <c r="B4" s="1" t="s">
        <v>124</v>
      </c>
      <c r="C4" s="26">
        <v>75</v>
      </c>
      <c r="D4" s="1" t="s">
        <v>3</v>
      </c>
    </row>
    <row r="6" spans="2:6" ht="15" thickBot="1" x14ac:dyDescent="0.45">
      <c r="B6" s="1" t="s">
        <v>16</v>
      </c>
      <c r="C6" s="102">
        <v>0.26</v>
      </c>
      <c r="D6" s="1" t="s">
        <v>17</v>
      </c>
    </row>
    <row r="8" spans="2:6" ht="15" thickBot="1" x14ac:dyDescent="0.45">
      <c r="B8" s="1" t="s">
        <v>16</v>
      </c>
      <c r="C8" s="103">
        <f>RADIANS(C6)</f>
        <v>4.5378560551852572E-3</v>
      </c>
      <c r="D8" s="1" t="s">
        <v>10</v>
      </c>
      <c r="F8" s="101" t="s">
        <v>125</v>
      </c>
    </row>
    <row r="9" spans="2:6" ht="15" thickBot="1" x14ac:dyDescent="0.45">
      <c r="B9" s="1" t="s">
        <v>6</v>
      </c>
      <c r="C9" s="104">
        <f>-((C4 / 1000) * COS(C8)) / (COS(C8) - 1)</f>
        <v>7284.2711168651967</v>
      </c>
      <c r="D9" s="1" t="s">
        <v>1</v>
      </c>
      <c r="F9" s="101" t="s">
        <v>126</v>
      </c>
    </row>
    <row r="11" spans="2:6" ht="15" thickBot="1" x14ac:dyDescent="0.45">
      <c r="B11" t="s">
        <v>127</v>
      </c>
      <c r="C11" s="105">
        <f>1 / (1 / C9 + C2)</f>
        <v>6239.0000551659805</v>
      </c>
      <c r="D11" s="1" t="s">
        <v>1</v>
      </c>
      <c r="F11" s="101" t="s">
        <v>128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9EB075-83D3-4E8A-BD89-7B0436771145}">
  <sheetPr codeName="Sheet38"/>
  <dimension ref="B2:D10"/>
  <sheetViews>
    <sheetView workbookViewId="0">
      <selection activeCell="B15" sqref="B15"/>
    </sheetView>
  </sheetViews>
  <sheetFormatPr defaultRowHeight="14.6" x14ac:dyDescent="0.4"/>
  <cols>
    <col min="2" max="2" width="10.84375" bestFit="1" customWidth="1"/>
    <col min="3" max="3" width="11.61328125" bestFit="1" customWidth="1"/>
  </cols>
  <sheetData>
    <row r="2" spans="2:4" ht="15" thickBot="1" x14ac:dyDescent="0.45">
      <c r="B2" s="1" t="s">
        <v>129</v>
      </c>
      <c r="C2" s="19">
        <f>0.000000000066743</f>
        <v>6.6742999999999994E-11</v>
      </c>
    </row>
    <row r="4" spans="2:4" ht="15" thickBot="1" x14ac:dyDescent="0.45">
      <c r="B4" s="1" t="s">
        <v>130</v>
      </c>
      <c r="C4" s="19">
        <v>5520</v>
      </c>
      <c r="D4" s="3" t="s">
        <v>131</v>
      </c>
    </row>
    <row r="6" spans="2:4" ht="15" thickBot="1" x14ac:dyDescent="0.45">
      <c r="B6" s="1" t="s">
        <v>110</v>
      </c>
      <c r="C6" s="19">
        <v>6371000</v>
      </c>
    </row>
    <row r="8" spans="2:4" ht="15" thickBot="1" x14ac:dyDescent="0.45">
      <c r="B8" s="1" t="s">
        <v>132</v>
      </c>
      <c r="C8" s="97">
        <f>4/3 * PI() * POWER(C6, 3) * C4</f>
        <v>5.9793021809885594E+24</v>
      </c>
      <c r="D8" s="3" t="s">
        <v>133</v>
      </c>
    </row>
    <row r="10" spans="2:4" ht="15" thickBot="1" x14ac:dyDescent="0.45">
      <c r="B10" s="1" t="s">
        <v>134</v>
      </c>
      <c r="C10" s="106">
        <f>C2 * C8 / POWER(C6, 2)</f>
        <v>9.8319806638772533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DF27B-D976-4899-821B-9143A87D5128}">
  <sheetPr codeName="Sheet3"/>
  <dimension ref="B2:P39"/>
  <sheetViews>
    <sheetView zoomScaleNormal="100" workbookViewId="0">
      <selection activeCell="I28" sqref="I28"/>
    </sheetView>
  </sheetViews>
  <sheetFormatPr defaultRowHeight="14.6" x14ac:dyDescent="0.4"/>
  <cols>
    <col min="2" max="2" width="12.765625" bestFit="1" customWidth="1"/>
    <col min="3" max="3" width="19.61328125" customWidth="1"/>
    <col min="5" max="5" width="13.3046875" customWidth="1"/>
    <col min="6" max="6" width="11.23046875" bestFit="1" customWidth="1"/>
    <col min="7" max="7" width="4.3828125" customWidth="1"/>
    <col min="8" max="8" width="16" bestFit="1" customWidth="1"/>
    <col min="9" max="9" width="12.53515625" bestFit="1" customWidth="1"/>
    <col min="10" max="10" width="4.69140625" customWidth="1"/>
    <col min="11" max="11" width="16" bestFit="1" customWidth="1"/>
    <col min="12" max="12" width="11" bestFit="1" customWidth="1"/>
    <col min="13" max="13" width="9.07421875" customWidth="1"/>
    <col min="14" max="14" width="9.23046875" bestFit="1" customWidth="1"/>
    <col min="15" max="15" width="9.07421875" customWidth="1"/>
  </cols>
  <sheetData>
    <row r="2" spans="2:15" ht="15" thickBot="1" x14ac:dyDescent="0.45">
      <c r="B2" s="48" t="s">
        <v>82</v>
      </c>
      <c r="C2" s="49">
        <v>6371</v>
      </c>
      <c r="E2" s="48" t="s">
        <v>83</v>
      </c>
      <c r="F2" s="50">
        <v>2770</v>
      </c>
      <c r="G2" s="51"/>
      <c r="H2" s="48" t="s">
        <v>84</v>
      </c>
      <c r="I2" s="50">
        <v>550</v>
      </c>
      <c r="J2" s="51"/>
      <c r="K2" s="48" t="s">
        <v>85</v>
      </c>
      <c r="L2" s="50">
        <v>6961</v>
      </c>
      <c r="M2" s="51"/>
    </row>
    <row r="3" spans="2:15" ht="15.45" thickTop="1" thickBot="1" x14ac:dyDescent="0.45">
      <c r="B3" s="48" t="s">
        <v>86</v>
      </c>
      <c r="C3" s="52">
        <f>1.2</f>
        <v>1.2</v>
      </c>
      <c r="H3" s="48" t="s">
        <v>87</v>
      </c>
      <c r="I3" s="50">
        <v>133000</v>
      </c>
      <c r="J3" s="51"/>
      <c r="K3" s="48" t="s">
        <v>87</v>
      </c>
      <c r="L3" s="53">
        <v>483792</v>
      </c>
      <c r="M3" s="51"/>
    </row>
    <row r="4" spans="2:15" ht="15.45" thickTop="1" thickBot="1" x14ac:dyDescent="0.45">
      <c r="E4" s="48" t="s">
        <v>88</v>
      </c>
      <c r="F4">
        <v>0</v>
      </c>
    </row>
    <row r="5" spans="2:15" ht="15.45" thickTop="1" thickBot="1" x14ac:dyDescent="0.45">
      <c r="B5" s="48" t="s">
        <v>89</v>
      </c>
      <c r="C5" s="54">
        <f>Radius * 1000 * KFactor</f>
        <v>7645200</v>
      </c>
      <c r="E5" s="48" t="s">
        <v>90</v>
      </c>
      <c r="F5" s="54">
        <f>EffRadius + F2</f>
        <v>7647970</v>
      </c>
      <c r="I5" s="55"/>
    </row>
    <row r="6" spans="2:15" ht="15" hidden="1" thickTop="1" x14ac:dyDescent="0.4">
      <c r="I6" s="56"/>
    </row>
    <row r="7" spans="2:15" hidden="1" x14ac:dyDescent="0.4"/>
    <row r="8" spans="2:15" ht="15" hidden="1" thickBot="1" x14ac:dyDescent="0.45"/>
    <row r="9" spans="2:15" ht="15.45" thickTop="1" thickBot="1" x14ac:dyDescent="0.45">
      <c r="E9" s="182" t="s">
        <v>91</v>
      </c>
      <c r="F9" s="183"/>
      <c r="G9" s="57"/>
      <c r="H9" s="58" t="s">
        <v>92</v>
      </c>
      <c r="I9" s="59">
        <f>ForeHeight - ObserverHeight</f>
        <v>-2220</v>
      </c>
      <c r="J9" s="60"/>
      <c r="K9" s="58" t="s">
        <v>92</v>
      </c>
      <c r="L9" s="61">
        <f>BackHeight - ObserverHeight</f>
        <v>4191</v>
      </c>
    </row>
    <row r="10" spans="2:15" ht="15.45" thickTop="1" thickBot="1" x14ac:dyDescent="0.45">
      <c r="E10" s="184"/>
      <c r="F10" s="185"/>
      <c r="G10" s="62"/>
      <c r="L10" s="63"/>
      <c r="N10" s="1" t="s">
        <v>15</v>
      </c>
    </row>
    <row r="11" spans="2:15" x14ac:dyDescent="0.4">
      <c r="E11" s="184"/>
      <c r="F11" s="185"/>
      <c r="G11" s="62"/>
      <c r="H11" s="64" t="s">
        <v>93</v>
      </c>
      <c r="I11" s="65">
        <f>DEGREES(ATAN(I9 / ForeDistance))</f>
        <v>-0.956276838947546</v>
      </c>
      <c r="K11" s="64" t="s">
        <v>93</v>
      </c>
      <c r="L11" s="66">
        <f>DEGREES(ATAN(L9 / BackDistance))</f>
        <v>0.4963302524539695</v>
      </c>
      <c r="M11" s="67"/>
      <c r="N11" s="68">
        <f>L11 - I11</f>
        <v>1.4526070914015154</v>
      </c>
      <c r="O11" s="13"/>
    </row>
    <row r="12" spans="2:15" x14ac:dyDescent="0.4">
      <c r="E12" s="184"/>
      <c r="F12" s="185"/>
      <c r="G12" s="62"/>
      <c r="H12" s="64" t="s">
        <v>94</v>
      </c>
      <c r="I12" s="69">
        <f>I11 * PI() / 180 * 1000</f>
        <v>-16.690179400198222</v>
      </c>
      <c r="K12" s="64" t="s">
        <v>94</v>
      </c>
      <c r="L12" s="70">
        <f>L11 * PI() / 180 * 1000</f>
        <v>8.6625970825764327</v>
      </c>
      <c r="M12" s="71"/>
      <c r="N12" s="67"/>
    </row>
    <row r="13" spans="2:15" ht="15" thickBot="1" x14ac:dyDescent="0.45">
      <c r="E13" s="186"/>
      <c r="F13" s="187"/>
      <c r="G13" s="72"/>
      <c r="H13" s="73" t="str">
        <f>IF(I11 &gt; Elevation!L11, "HIGHER", "LOWER")</f>
        <v>LOWER</v>
      </c>
      <c r="I13" s="74"/>
      <c r="J13" s="74"/>
      <c r="K13" s="73" t="str">
        <f>IF(Elevation!I11 &gt; L11, "LOWER", "HIGHER")</f>
        <v>HIGHER</v>
      </c>
      <c r="L13" s="75"/>
    </row>
    <row r="14" spans="2:15" ht="15" customHeight="1" x14ac:dyDescent="0.4">
      <c r="E14" s="76"/>
      <c r="F14" s="76"/>
      <c r="H14" s="18"/>
      <c r="K14" s="18"/>
      <c r="N14" s="67"/>
    </row>
    <row r="15" spans="2:15" ht="15" hidden="1" customHeight="1" x14ac:dyDescent="0.4">
      <c r="E15" s="76"/>
      <c r="F15" s="76"/>
      <c r="H15" s="18"/>
      <c r="K15" s="18"/>
      <c r="N15" s="77"/>
    </row>
    <row r="16" spans="2:15" ht="15" hidden="1" customHeight="1" x14ac:dyDescent="0.4">
      <c r="E16" s="76"/>
      <c r="F16" s="76"/>
      <c r="H16" s="18"/>
      <c r="K16" s="18"/>
      <c r="N16" s="77"/>
    </row>
    <row r="17" spans="2:16" ht="15" thickBot="1" x14ac:dyDescent="0.45">
      <c r="H17" s="18"/>
      <c r="K17" s="18"/>
    </row>
    <row r="18" spans="2:16" ht="15" thickBot="1" x14ac:dyDescent="0.45">
      <c r="E18" s="188" t="s">
        <v>95</v>
      </c>
      <c r="F18" s="189"/>
      <c r="G18" s="57"/>
      <c r="H18" s="58" t="s">
        <v>96</v>
      </c>
      <c r="I18" s="78">
        <f>I3 / (PI() * EffRadius * 2) * 360</f>
        <v>0.99674811322659307</v>
      </c>
      <c r="J18" s="60"/>
      <c r="K18" s="58" t="s">
        <v>96</v>
      </c>
      <c r="L18" s="79">
        <f>L3 / (PI() * EffRadius * 2) * 360</f>
        <v>3.6257049864219546</v>
      </c>
    </row>
    <row r="19" spans="2:16" ht="15" thickTop="1" x14ac:dyDescent="0.4">
      <c r="E19" s="190"/>
      <c r="F19" s="191"/>
      <c r="G19" s="62"/>
      <c r="L19" s="63"/>
    </row>
    <row r="20" spans="2:16" ht="15" thickBot="1" x14ac:dyDescent="0.45">
      <c r="E20" s="190"/>
      <c r="F20" s="191"/>
      <c r="G20" s="62"/>
      <c r="H20" s="48" t="s">
        <v>97</v>
      </c>
      <c r="I20" s="80">
        <f>(EffRadius + I2) * SIN(RADIANS(I18))</f>
        <v>133002.85920548326</v>
      </c>
      <c r="K20" s="48" t="s">
        <v>98</v>
      </c>
      <c r="L20" s="81">
        <f>(EffRadius + L2) * SIN(RADIANS(L18))</f>
        <v>483909.38177768473</v>
      </c>
    </row>
    <row r="21" spans="2:16" ht="15.45" thickTop="1" thickBot="1" x14ac:dyDescent="0.45">
      <c r="B21" s="82"/>
      <c r="E21" s="190"/>
      <c r="F21" s="191"/>
      <c r="G21" s="62"/>
      <c r="H21" s="48" t="s">
        <v>99</v>
      </c>
      <c r="I21" s="80">
        <f>(EffRadius + I2) * COS(RADIANS(I18))</f>
        <v>7644593.0762822926</v>
      </c>
      <c r="K21" s="48" t="s">
        <v>100</v>
      </c>
      <c r="L21" s="83">
        <f>(EffRadius + L2) * COS(RADIANS(L18))</f>
        <v>7636844.8773134407</v>
      </c>
    </row>
    <row r="22" spans="2:16" ht="15.45" thickTop="1" thickBot="1" x14ac:dyDescent="0.45">
      <c r="E22" s="190"/>
      <c r="F22" s="191"/>
      <c r="G22" s="62"/>
      <c r="L22" s="63"/>
      <c r="N22" s="84" t="s">
        <v>15</v>
      </c>
      <c r="O22" s="85"/>
    </row>
    <row r="23" spans="2:16" ht="15" thickTop="1" x14ac:dyDescent="0.4">
      <c r="E23" s="190"/>
      <c r="F23" s="191"/>
      <c r="G23" s="62"/>
      <c r="H23" s="86" t="s">
        <v>93</v>
      </c>
      <c r="I23" s="87">
        <f>DEGREES(ATAN((ForeY - ObsY) / ForeX))</f>
        <v>-1.4544192353943055</v>
      </c>
      <c r="K23" s="64" t="s">
        <v>93</v>
      </c>
      <c r="L23" s="88">
        <f>DEGREES(ATAN((BackY - ObsY) / BackX))</f>
        <v>-1.3170034185015442</v>
      </c>
      <c r="M23" s="89"/>
      <c r="N23" s="90">
        <f>L23 - I23</f>
        <v>0.13741581689276128</v>
      </c>
      <c r="O23" s="55"/>
    </row>
    <row r="24" spans="2:16" x14ac:dyDescent="0.4">
      <c r="E24" s="190"/>
      <c r="F24" s="191"/>
      <c r="G24" s="62"/>
      <c r="H24" s="64" t="s">
        <v>94</v>
      </c>
      <c r="I24" s="69">
        <f>I23 * PI() / 180 * 1000</f>
        <v>-25.384404361969079</v>
      </c>
      <c r="K24" s="64" t="s">
        <v>94</v>
      </c>
      <c r="L24" s="70">
        <f>L23 * PI() / 180 * 1000</f>
        <v>-22.986045912872754</v>
      </c>
      <c r="M24" s="91"/>
      <c r="N24" s="92"/>
    </row>
    <row r="25" spans="2:16" ht="15" thickBot="1" x14ac:dyDescent="0.45">
      <c r="E25" s="192"/>
      <c r="F25" s="193"/>
      <c r="G25" s="72"/>
      <c r="H25" s="73" t="str">
        <f>IF(I23 &gt; L23, "HIGHER", "LOWER")</f>
        <v>LOWER</v>
      </c>
      <c r="I25" s="74"/>
      <c r="J25" s="74"/>
      <c r="K25" s="73" t="str">
        <f>IF(I23 &gt; L23, "LOWER", "HIGHER")</f>
        <v>HIGHER</v>
      </c>
      <c r="L25" s="75"/>
      <c r="N25" s="93"/>
    </row>
    <row r="26" spans="2:16" x14ac:dyDescent="0.4">
      <c r="N26" s="94"/>
      <c r="P26" s="95"/>
    </row>
    <row r="27" spans="2:16" x14ac:dyDescent="0.4">
      <c r="N27" s="23"/>
    </row>
    <row r="39" spans="9:9" x14ac:dyDescent="0.4">
      <c r="I39" s="96"/>
    </row>
  </sheetData>
  <mergeCells count="2">
    <mergeCell ref="E9:F13"/>
    <mergeCell ref="E18:F25"/>
  </mergeCells>
  <pageMargins left="0.7" right="0.7" top="0.75" bottom="0.75" header="0.3" footer="0.3"/>
  <pageSetup paperSize="9" orientation="portrait" horizontalDpi="4294967293"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CB325-68E9-46FB-B61B-9DC444EF1603}">
  <sheetPr codeName="Sheet28"/>
  <dimension ref="B1:K14"/>
  <sheetViews>
    <sheetView workbookViewId="0">
      <selection activeCell="G18" sqref="G18"/>
    </sheetView>
  </sheetViews>
  <sheetFormatPr defaultRowHeight="14.6" x14ac:dyDescent="0.4"/>
  <cols>
    <col min="2" max="2" width="10.3046875" customWidth="1"/>
    <col min="3" max="3" width="11.23046875" customWidth="1"/>
    <col min="5" max="5" width="9.61328125" bestFit="1" customWidth="1"/>
    <col min="6" max="6" width="11.15234375" bestFit="1" customWidth="1"/>
    <col min="9" max="9" width="24.07421875" bestFit="1" customWidth="1"/>
    <col min="10" max="10" width="10.3046875" customWidth="1"/>
    <col min="11" max="11" width="12" customWidth="1"/>
  </cols>
  <sheetData>
    <row r="1" spans="2:11" x14ac:dyDescent="0.4">
      <c r="I1" t="s">
        <v>68</v>
      </c>
      <c r="J1" t="s">
        <v>69</v>
      </c>
      <c r="K1" t="s">
        <v>70</v>
      </c>
    </row>
    <row r="2" spans="2:11" ht="15" thickBot="1" x14ac:dyDescent="0.45">
      <c r="B2" s="194" t="s">
        <v>49</v>
      </c>
      <c r="C2" s="194"/>
      <c r="I2" t="s">
        <v>71</v>
      </c>
      <c r="J2" s="19">
        <v>53.640109000000002</v>
      </c>
      <c r="K2" s="19">
        <v>-3.0292979999999998</v>
      </c>
    </row>
    <row r="3" spans="2:11" ht="15" thickBot="1" x14ac:dyDescent="0.45">
      <c r="B3" s="1" t="s">
        <v>69</v>
      </c>
      <c r="C3" s="1" t="s">
        <v>70</v>
      </c>
      <c r="I3" t="s">
        <v>72</v>
      </c>
      <c r="J3" s="19">
        <v>53.637461000000002</v>
      </c>
      <c r="K3" s="19">
        <v>-2.5308069999999998</v>
      </c>
    </row>
    <row r="4" spans="2:11" x14ac:dyDescent="0.4">
      <c r="B4" s="44">
        <v>43.038800000000002</v>
      </c>
      <c r="C4" s="44">
        <v>-87.906499999999994</v>
      </c>
      <c r="I4" t="s">
        <v>73</v>
      </c>
      <c r="J4" s="44">
        <v>53.635075999999998</v>
      </c>
      <c r="K4" s="44">
        <v>-2.5398360000000002</v>
      </c>
    </row>
    <row r="5" spans="2:11" x14ac:dyDescent="0.4">
      <c r="I5" t="s">
        <v>74</v>
      </c>
      <c r="J5" s="44">
        <v>42.455063000000003</v>
      </c>
      <c r="K5" s="44">
        <v>18.427049</v>
      </c>
    </row>
    <row r="6" spans="2:11" ht="15" thickBot="1" x14ac:dyDescent="0.45">
      <c r="B6" s="194" t="s">
        <v>56</v>
      </c>
      <c r="C6" s="194"/>
      <c r="I6" t="s">
        <v>75</v>
      </c>
      <c r="J6" s="44">
        <v>53.879680999999998</v>
      </c>
      <c r="K6" s="44">
        <v>-2.667014</v>
      </c>
    </row>
    <row r="7" spans="2:11" ht="15" thickBot="1" x14ac:dyDescent="0.45">
      <c r="B7" s="1" t="s">
        <v>69</v>
      </c>
      <c r="C7" s="1" t="s">
        <v>70</v>
      </c>
      <c r="I7" t="s">
        <v>76</v>
      </c>
      <c r="J7" s="44">
        <v>53.788961</v>
      </c>
      <c r="K7" s="44">
        <v>-3.057283</v>
      </c>
    </row>
    <row r="8" spans="2:11" ht="15" thickBot="1" x14ac:dyDescent="0.45">
      <c r="B8" s="44">
        <v>17.800699999999999</v>
      </c>
      <c r="C8" s="44">
        <v>2.2302</v>
      </c>
      <c r="E8" s="1" t="s">
        <v>67</v>
      </c>
      <c r="F8" s="24" t="e" cm="1">
        <f t="array" aca="1" ref="F8" ca="1">NormaliseHeading(DEGREES(InitialHeading(RADIANS(B4), RADIANS(C4), RADIANS(B8), RADIANS(C8))))</f>
        <v>#NAME?</v>
      </c>
      <c r="I8" t="s">
        <v>77</v>
      </c>
      <c r="J8" s="44">
        <v>53.788969000000002</v>
      </c>
      <c r="K8" s="44">
        <v>-3.0572170000000001</v>
      </c>
    </row>
    <row r="9" spans="2:11" ht="15" thickBot="1" x14ac:dyDescent="0.45">
      <c r="E9" s="1" t="s">
        <v>0</v>
      </c>
      <c r="F9" s="24" t="e" cm="1">
        <f t="array" aca="1" ref="F9" ca="1">DistanceBetween(RADIANS(B4), RADIANS(C4), RADIANS(B8), RADIANS(C8))</f>
        <v>#NAME?</v>
      </c>
      <c r="G9" s="1" t="s">
        <v>1</v>
      </c>
      <c r="I9" t="s">
        <v>78</v>
      </c>
      <c r="J9" s="44">
        <v>35.965262000000003</v>
      </c>
      <c r="K9" s="44">
        <v>-115.50054900000001</v>
      </c>
    </row>
    <row r="10" spans="2:11" ht="15" thickBot="1" x14ac:dyDescent="0.45">
      <c r="E10" s="1" t="s">
        <v>0</v>
      </c>
      <c r="F10" s="45" t="e" cm="1">
        <f t="array" aca="1" ref="F10" ca="1">DistanceBetween(RADIANS(B4), RADIANS(C4), RADIANS(B8), RADIANS(C8), 3959)</f>
        <v>#NAME?</v>
      </c>
      <c r="G10" s="1" t="s">
        <v>79</v>
      </c>
      <c r="I10" t="s">
        <v>80</v>
      </c>
      <c r="J10" s="44">
        <v>36.054222000000003</v>
      </c>
      <c r="K10" s="44">
        <v>-115.784014</v>
      </c>
    </row>
    <row r="11" spans="2:11" x14ac:dyDescent="0.4">
      <c r="I11" t="s">
        <v>81</v>
      </c>
      <c r="J11" s="44">
        <v>36.040224000000002</v>
      </c>
      <c r="K11" s="44">
        <v>-115.795996</v>
      </c>
    </row>
    <row r="12" spans="2:11" ht="15" thickBot="1" x14ac:dyDescent="0.45">
      <c r="E12" s="195" t="s">
        <v>56</v>
      </c>
      <c r="F12" s="195"/>
    </row>
    <row r="13" spans="2:11" ht="15" thickBot="1" x14ac:dyDescent="0.45">
      <c r="B13" s="1" t="s">
        <v>67</v>
      </c>
      <c r="C13" s="46" t="e">
        <f ca="1">F8</f>
        <v>#NAME?</v>
      </c>
      <c r="E13" s="42" t="s">
        <v>69</v>
      </c>
      <c r="F13" s="1" t="s">
        <v>70</v>
      </c>
    </row>
    <row r="14" spans="2:11" ht="15" thickBot="1" x14ac:dyDescent="0.45">
      <c r="B14" s="1" t="s">
        <v>0</v>
      </c>
      <c r="C14" s="46">
        <v>85.05</v>
      </c>
      <c r="E14" s="47" t="e" cm="1">
        <f t="array" aca="1" ref="E14" ca="1">DEGREES(DestinationLatitude(RADIANS(B4), RADIANS(C4), RADIANS(C13), C14, 6371))</f>
        <v>#NAME?</v>
      </c>
      <c r="F14" s="47" t="e" cm="1">
        <f t="array" aca="1" ref="F14" ca="1">DEGREES(DestinationLongitude(RADIANS(B4), RADIANS(C4), RADIANS(C13), C14, 6371))</f>
        <v>#NAME?</v>
      </c>
    </row>
  </sheetData>
  <mergeCells count="3">
    <mergeCell ref="B2:C2"/>
    <mergeCell ref="B6:C6"/>
    <mergeCell ref="E12:F12"/>
  </mergeCells>
  <pageMargins left="0.7" right="0.7" top="0.75" bottom="0.75" header="0.3" footer="0.3"/>
  <tableParts count="1">
    <tablePart r:id="rId1"/>
  </tablePart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4848C6-3CA9-4C78-9B0A-48146BC6C2D0}">
  <sheetPr codeName="Sheet10"/>
  <dimension ref="B2:P31"/>
  <sheetViews>
    <sheetView zoomScaleNormal="100" workbookViewId="0">
      <selection activeCell="I22" sqref="I22"/>
    </sheetView>
  </sheetViews>
  <sheetFormatPr defaultRowHeight="14.6" x14ac:dyDescent="0.4"/>
  <cols>
    <col min="2" max="2" width="13.07421875" bestFit="1" customWidth="1"/>
    <col min="3" max="3" width="10" bestFit="1" customWidth="1"/>
    <col min="4" max="4" width="11.3046875" bestFit="1" customWidth="1"/>
    <col min="6" max="6" width="9.765625" bestFit="1" customWidth="1"/>
    <col min="7" max="7" width="11.07421875" bestFit="1" customWidth="1"/>
    <col min="9" max="9" width="8.765625" bestFit="1" customWidth="1"/>
    <col min="10" max="10" width="11.3046875" bestFit="1" customWidth="1"/>
    <col min="15" max="15" width="12.3046875" bestFit="1" customWidth="1"/>
    <col min="16" max="16" width="10.765625" bestFit="1" customWidth="1"/>
    <col min="17" max="17" width="9.765625" bestFit="1" customWidth="1"/>
  </cols>
  <sheetData>
    <row r="2" spans="2:16" ht="15" thickBot="1" x14ac:dyDescent="0.45">
      <c r="B2" s="1" t="s">
        <v>47</v>
      </c>
      <c r="C2" s="31">
        <v>28.698409999999999</v>
      </c>
    </row>
    <row r="3" spans="2:16" ht="15" thickBot="1" x14ac:dyDescent="0.45">
      <c r="B3" s="1" t="s">
        <v>48</v>
      </c>
      <c r="C3" s="32">
        <v>500</v>
      </c>
    </row>
    <row r="5" spans="2:16" ht="15" thickBot="1" x14ac:dyDescent="0.45">
      <c r="B5" s="1" t="s">
        <v>49</v>
      </c>
      <c r="C5" s="1" t="s">
        <v>50</v>
      </c>
      <c r="D5" s="33">
        <v>-13.928660965552268</v>
      </c>
      <c r="F5" s="1" t="s">
        <v>51</v>
      </c>
      <c r="G5" s="34">
        <f>(90 - D5) * $C$2</f>
        <v>2982.5873231404148</v>
      </c>
      <c r="I5" s="1" t="s">
        <v>52</v>
      </c>
      <c r="J5" s="35">
        <f>-SIN(RADIANS(D6)) * G5</f>
        <v>1256.7862583125866</v>
      </c>
      <c r="L5" s="1" t="s">
        <v>0</v>
      </c>
      <c r="M5" s="36">
        <f>SQRT((J8-J5)^2 + (J9 - J6)^2)</f>
        <v>307.65984762026949</v>
      </c>
      <c r="N5" s="3" t="s">
        <v>53</v>
      </c>
    </row>
    <row r="6" spans="2:16" ht="15" thickBot="1" x14ac:dyDescent="0.45">
      <c r="C6" s="1" t="s">
        <v>54</v>
      </c>
      <c r="D6" s="33">
        <v>-155.07860378295786</v>
      </c>
      <c r="I6" s="1" t="s">
        <v>55</v>
      </c>
      <c r="J6" s="35">
        <f>COS(RADIANS(D6)) * G5</f>
        <v>-2704.8688399023258</v>
      </c>
    </row>
    <row r="8" spans="2:16" ht="15" thickBot="1" x14ac:dyDescent="0.45">
      <c r="B8" s="1" t="s">
        <v>56</v>
      </c>
      <c r="C8" s="1" t="s">
        <v>50</v>
      </c>
      <c r="D8" s="37">
        <v>-17.559864999999999</v>
      </c>
      <c r="F8" s="1" t="s">
        <v>51</v>
      </c>
      <c r="G8" s="34">
        <f>(90 - D8) * $C$2</f>
        <v>3086.7971053146498</v>
      </c>
      <c r="I8" s="1" t="s">
        <v>52</v>
      </c>
      <c r="J8" s="38">
        <f>-SIN(RADIANS(D9)) * G8</f>
        <v>1561.5408258519913</v>
      </c>
    </row>
    <row r="9" spans="2:16" ht="15" thickBot="1" x14ac:dyDescent="0.45">
      <c r="C9" s="1" t="s">
        <v>54</v>
      </c>
      <c r="D9" s="37">
        <v>-149.610388</v>
      </c>
      <c r="I9" s="1" t="s">
        <v>55</v>
      </c>
      <c r="J9" s="35">
        <f>COS(RADIANS(D9)) * G8</f>
        <v>-2662.687856016244</v>
      </c>
    </row>
    <row r="13" spans="2:16" ht="20.149999999999999" thickBot="1" x14ac:dyDescent="0.6">
      <c r="B13" s="39" t="s">
        <v>57</v>
      </c>
    </row>
    <row r="14" spans="2:16" ht="15" thickTop="1" x14ac:dyDescent="0.4"/>
    <row r="16" spans="2:16" ht="15" thickBot="1" x14ac:dyDescent="0.45">
      <c r="B16" s="1" t="s">
        <v>58</v>
      </c>
      <c r="C16" s="1" t="s">
        <v>59</v>
      </c>
      <c r="D16" s="35">
        <f>(J6 / J5)</f>
        <v>-2.1522107056883284</v>
      </c>
      <c r="F16" s="1" t="s">
        <v>60</v>
      </c>
      <c r="G16" s="35">
        <f>J5 + (C3 * COS(ATAN(D18)))</f>
        <v>1752.0646800771799</v>
      </c>
      <c r="I16" s="1" t="s">
        <v>61</v>
      </c>
      <c r="J16" s="35">
        <f>90 - SQRT(G16^2 + G17^2) / C2</f>
        <v>-20.299583347456476</v>
      </c>
      <c r="O16" s="40"/>
      <c r="P16" s="40"/>
    </row>
    <row r="17" spans="2:16" ht="15" thickBot="1" x14ac:dyDescent="0.45">
      <c r="B17" s="1" t="s">
        <v>58</v>
      </c>
      <c r="C17" s="1" t="s">
        <v>62</v>
      </c>
      <c r="D17" s="41">
        <f>DEGREES(ATAN(D16))</f>
        <v>-65.078603782957856</v>
      </c>
      <c r="F17" s="1" t="s">
        <v>63</v>
      </c>
      <c r="G17" s="35">
        <f>J6 + (C3 * SIN(ATAN(D18)))</f>
        <v>-2636.3175092487663</v>
      </c>
      <c r="I17" s="1" t="s">
        <v>64</v>
      </c>
      <c r="J17" s="35">
        <f>180 - DEGREES(ATAN(G16 / G17))</f>
        <v>213.60753083489453</v>
      </c>
      <c r="O17" s="40"/>
      <c r="P17" s="40"/>
    </row>
    <row r="18" spans="2:16" ht="15" thickBot="1" x14ac:dyDescent="0.45">
      <c r="B18" s="1" t="s">
        <v>65</v>
      </c>
      <c r="C18" s="1" t="s">
        <v>59</v>
      </c>
      <c r="D18" s="35">
        <f>(J9-J6) / (J8-J5)</f>
        <v>0.13840968562555767</v>
      </c>
      <c r="O18" s="40"/>
      <c r="P18" s="40"/>
    </row>
    <row r="19" spans="2:16" ht="15" thickBot="1" x14ac:dyDescent="0.45">
      <c r="B19" s="42" t="s">
        <v>65</v>
      </c>
      <c r="C19" s="42" t="s">
        <v>62</v>
      </c>
      <c r="D19" s="41">
        <f>DEGREES(ATAN(D18))</f>
        <v>7.8802242339399244</v>
      </c>
      <c r="O19" s="40"/>
      <c r="P19" s="40"/>
    </row>
    <row r="20" spans="2:16" x14ac:dyDescent="0.4">
      <c r="O20" s="40"/>
      <c r="P20" s="40"/>
    </row>
    <row r="21" spans="2:16" ht="15" thickBot="1" x14ac:dyDescent="0.45">
      <c r="B21" s="1" t="s">
        <v>66</v>
      </c>
      <c r="C21" s="1" t="s">
        <v>67</v>
      </c>
      <c r="D21" s="43">
        <f>D17 - D19</f>
        <v>-72.958828016897783</v>
      </c>
      <c r="O21" s="40"/>
      <c r="P21" s="40"/>
    </row>
    <row r="22" spans="2:16" x14ac:dyDescent="0.4">
      <c r="O22" s="40"/>
      <c r="P22" s="40"/>
    </row>
    <row r="23" spans="2:16" x14ac:dyDescent="0.4">
      <c r="J23" s="40"/>
      <c r="O23" s="40"/>
      <c r="P23" s="40"/>
    </row>
    <row r="24" spans="2:16" x14ac:dyDescent="0.4">
      <c r="O24" s="40"/>
      <c r="P24" s="40"/>
    </row>
    <row r="25" spans="2:16" x14ac:dyDescent="0.4">
      <c r="O25" s="40"/>
      <c r="P25" s="40"/>
    </row>
    <row r="26" spans="2:16" x14ac:dyDescent="0.4">
      <c r="O26" s="40"/>
      <c r="P26" s="40"/>
    </row>
    <row r="27" spans="2:16" x14ac:dyDescent="0.4">
      <c r="O27" s="40"/>
      <c r="P27" s="40"/>
    </row>
    <row r="28" spans="2:16" x14ac:dyDescent="0.4">
      <c r="O28" s="40"/>
      <c r="P28" s="40"/>
    </row>
    <row r="29" spans="2:16" x14ac:dyDescent="0.4">
      <c r="O29" s="40"/>
      <c r="P29" s="40"/>
    </row>
    <row r="30" spans="2:16" x14ac:dyDescent="0.4">
      <c r="O30" s="40"/>
      <c r="P30" s="40"/>
    </row>
    <row r="31" spans="2:16" x14ac:dyDescent="0.4">
      <c r="O31" s="40"/>
      <c r="P31" s="40"/>
    </row>
  </sheetData>
  <pageMargins left="0.7" right="0.7" top="0.75" bottom="0.75" header="0.3" footer="0.3"/>
  <legacyDrawing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89E99-E2BD-4EA2-8D2E-8123EF4B9476}">
  <sheetPr codeName="Sheet14"/>
  <dimension ref="B2:L25"/>
  <sheetViews>
    <sheetView tabSelected="1" topLeftCell="A4" workbookViewId="0">
      <selection activeCell="H23" sqref="H23"/>
    </sheetView>
  </sheetViews>
  <sheetFormatPr defaultRowHeight="14.6" x14ac:dyDescent="0.4"/>
  <cols>
    <col min="2" max="2" width="18.3046875" bestFit="1" customWidth="1"/>
    <col min="3" max="3" width="15" bestFit="1" customWidth="1"/>
    <col min="4" max="4" width="9.23046875" style="7"/>
    <col min="6" max="6" width="18.3046875" bestFit="1" customWidth="1"/>
    <col min="7" max="7" width="13" bestFit="1" customWidth="1"/>
    <col min="10" max="10" width="10.3046875" bestFit="1" customWidth="1"/>
    <col min="11" max="11" width="10.61328125" bestFit="1" customWidth="1"/>
  </cols>
  <sheetData>
    <row r="2" spans="2:12" ht="15" thickBot="1" x14ac:dyDescent="0.45">
      <c r="B2" s="1" t="s">
        <v>0</v>
      </c>
      <c r="C2" s="2">
        <v>0.14499999999999999</v>
      </c>
      <c r="D2" s="3" t="s">
        <v>1</v>
      </c>
    </row>
    <row r="3" spans="2:12" ht="15" thickBot="1" x14ac:dyDescent="0.45">
      <c r="B3" s="1" t="s">
        <v>2</v>
      </c>
      <c r="C3" s="4">
        <v>10</v>
      </c>
      <c r="D3" s="3" t="s">
        <v>3</v>
      </c>
    </row>
    <row r="5" spans="2:12" ht="15" thickBot="1" x14ac:dyDescent="0.45">
      <c r="B5" s="1" t="s">
        <v>4</v>
      </c>
      <c r="C5" s="5">
        <v>6371</v>
      </c>
      <c r="D5" s="3" t="s">
        <v>1</v>
      </c>
    </row>
    <row r="6" spans="2:12" ht="15" thickBot="1" x14ac:dyDescent="0.45">
      <c r="B6" s="1" t="s">
        <v>5</v>
      </c>
      <c r="C6" s="6">
        <f>7/6</f>
        <v>1.1666666666666667</v>
      </c>
    </row>
    <row r="7" spans="2:12" ht="15" thickBot="1" x14ac:dyDescent="0.45">
      <c r="B7" s="1" t="s">
        <v>6</v>
      </c>
      <c r="C7" s="8">
        <f>C5 * C6</f>
        <v>7432.8333333333339</v>
      </c>
      <c r="D7" s="3" t="s">
        <v>1</v>
      </c>
    </row>
    <row r="9" spans="2:12" ht="18.899999999999999" thickBot="1" x14ac:dyDescent="0.55000000000000004">
      <c r="B9" s="169" t="s">
        <v>7</v>
      </c>
      <c r="C9" s="169"/>
      <c r="D9" s="169"/>
      <c r="F9" s="170" t="s">
        <v>8</v>
      </c>
      <c r="G9" s="170"/>
      <c r="H9" s="170"/>
    </row>
    <row r="11" spans="2:12" ht="15" thickBot="1" x14ac:dyDescent="0.45">
      <c r="B11" s="1" t="s">
        <v>9</v>
      </c>
      <c r="C11" s="9">
        <f>ACOS(C7 / (C7 + (C3 / 1000)))</f>
        <v>1.6403539057525673E-3</v>
      </c>
      <c r="D11" s="3" t="s">
        <v>10</v>
      </c>
      <c r="F11" s="1" t="s">
        <v>9</v>
      </c>
      <c r="G11" s="9">
        <f>ACOS(C5 / (C5 + (C3 / 1000)))</f>
        <v>1.7717845538962607E-3</v>
      </c>
      <c r="H11" s="3" t="s">
        <v>10</v>
      </c>
    </row>
    <row r="12" spans="2:12" ht="15" thickBot="1" x14ac:dyDescent="0.45">
      <c r="B12" s="1" t="s">
        <v>11</v>
      </c>
      <c r="C12" s="9">
        <f>C2 / C7</f>
        <v>1.9508038657308786E-5</v>
      </c>
      <c r="D12" s="3" t="s">
        <v>10</v>
      </c>
      <c r="F12" s="1" t="s">
        <v>11</v>
      </c>
      <c r="G12" s="9">
        <f>C2 / C5</f>
        <v>2.2759378433526916E-5</v>
      </c>
      <c r="H12" s="3" t="s">
        <v>10</v>
      </c>
    </row>
    <row r="13" spans="2:12" x14ac:dyDescent="0.4">
      <c r="H13" s="7"/>
    </row>
    <row r="14" spans="2:12" ht="15" thickBot="1" x14ac:dyDescent="0.45">
      <c r="B14" s="1" t="s">
        <v>12</v>
      </c>
      <c r="C14" s="10">
        <f>C11 * C7</f>
        <v>12.192477189141208</v>
      </c>
      <c r="D14" s="3" t="s">
        <v>1</v>
      </c>
      <c r="F14" s="1" t="s">
        <v>12</v>
      </c>
      <c r="G14" s="11">
        <f>G11 * C5</f>
        <v>11.288039392873078</v>
      </c>
      <c r="H14" s="3" t="s">
        <v>1</v>
      </c>
    </row>
    <row r="15" spans="2:12" ht="15" thickBot="1" x14ac:dyDescent="0.45">
      <c r="B15" s="1" t="s">
        <v>13</v>
      </c>
      <c r="C15" s="12">
        <f>(C7 - (C7 * COS(C2 / C7))) * 1000</f>
        <v>1.4143324733595364E-3</v>
      </c>
      <c r="D15" s="3" t="s">
        <v>3</v>
      </c>
      <c r="E15" s="13"/>
      <c r="F15" s="1" t="s">
        <v>13</v>
      </c>
      <c r="G15" s="12">
        <f>(C5 - (C5 * COS(C2 / C5))) * 1000</f>
        <v>1.6500544006703421E-3</v>
      </c>
      <c r="H15" s="3" t="s">
        <v>3</v>
      </c>
      <c r="I15" s="13"/>
    </row>
    <row r="16" spans="2:12" ht="15" thickBot="1" x14ac:dyDescent="0.45">
      <c r="B16" s="1" t="s">
        <v>14</v>
      </c>
      <c r="C16" s="11">
        <f>((C7 / COS(C12 - C11)) - C7) * 1000</f>
        <v>9.7635624933900544</v>
      </c>
      <c r="D16" s="3" t="s">
        <v>3</v>
      </c>
      <c r="F16" s="1" t="s">
        <v>14</v>
      </c>
      <c r="G16" s="14">
        <f>((C5 / COS(G12 - G11)) - C5) * 1000</f>
        <v>9.7447406351420796</v>
      </c>
      <c r="H16" s="3" t="s">
        <v>3</v>
      </c>
      <c r="J16" s="1" t="s">
        <v>15</v>
      </c>
      <c r="K16" s="14">
        <f>G16 - C16</f>
        <v>-1.8821858247974887E-2</v>
      </c>
      <c r="L16" s="3" t="s">
        <v>3</v>
      </c>
    </row>
    <row r="17" spans="2:12" ht="15" thickBot="1" x14ac:dyDescent="0.45">
      <c r="B17" s="1" t="s">
        <v>16</v>
      </c>
      <c r="C17" s="15">
        <f>DEGREES(C11)</f>
        <v>9.3985355707422516E-2</v>
      </c>
      <c r="D17" s="3" t="s">
        <v>17</v>
      </c>
      <c r="F17" s="1" t="s">
        <v>16</v>
      </c>
      <c r="G17" s="15">
        <f>DEGREES(G11)</f>
        <v>0.10151577714472508</v>
      </c>
      <c r="H17" s="3" t="s">
        <v>17</v>
      </c>
      <c r="J17" s="1" t="s">
        <v>18</v>
      </c>
      <c r="K17" s="16">
        <f>DEGREES(2 * ATAN(K16 / (2 * C2 * 1000)))</f>
        <v>-7.4373313012981064E-3</v>
      </c>
      <c r="L17" s="3" t="s">
        <v>17</v>
      </c>
    </row>
    <row r="25" spans="2:12" x14ac:dyDescent="0.4">
      <c r="D25" s="17"/>
    </row>
  </sheetData>
  <mergeCells count="2">
    <mergeCell ref="B9:D9"/>
    <mergeCell ref="F9:H9"/>
  </mergeCells>
  <pageMargins left="0.7" right="0.7" top="0.75" bottom="0.75" header="0.3" footer="0.3"/>
  <pageSetup orientation="portrait" horizontalDpi="4294967293" verticalDpi="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2</vt:i4>
      </vt:variant>
    </vt:vector>
  </HeadingPairs>
  <TitlesOfParts>
    <vt:vector size="20" baseType="lpstr">
      <vt:lpstr>Vision Radius</vt:lpstr>
      <vt:lpstr>Focal Length</vt:lpstr>
      <vt:lpstr>Combined</vt:lpstr>
      <vt:lpstr>Diffraction Limit</vt:lpstr>
      <vt:lpstr>lat Long Haversine</vt:lpstr>
      <vt:lpstr>Horizon Distance</vt:lpstr>
      <vt:lpstr>AE Navigation (2)</vt:lpstr>
      <vt:lpstr>Sheet3</vt:lpstr>
      <vt:lpstr>Sheet4</vt:lpstr>
      <vt:lpstr>Sheet2</vt:lpstr>
      <vt:lpstr>Sheet5</vt:lpstr>
      <vt:lpstr>Spherical Excess</vt:lpstr>
      <vt:lpstr>Implied Radius</vt:lpstr>
      <vt:lpstr>Gravity</vt:lpstr>
      <vt:lpstr>Elevation</vt:lpstr>
      <vt:lpstr>GEO</vt:lpstr>
      <vt:lpstr>AE Navigation</vt:lpstr>
      <vt:lpstr>Curve Calc</vt:lpstr>
      <vt:lpstr>ObsX</vt:lpstr>
      <vt:lpstr>'Vision Radius'!Print_Area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Shane St. Pierre</dc:creator>
  <cp:lastModifiedBy>Shane St. Pierre</cp:lastModifiedBy>
  <cp:lastPrinted>2024-02-29T18:13:25Z</cp:lastPrinted>
  <dcterms:created xsi:type="dcterms:W3CDTF">2024-02-29T16:03:55Z</dcterms:created>
  <dcterms:modified xsi:type="dcterms:W3CDTF">2024-05-28T21:11:50Z</dcterms:modified>
</cp:coreProperties>
</file>